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8465" yWindow="0" windowWidth="19935" windowHeight="16200"/>
  </bookViews>
  <sheets>
    <sheet name="Crenshaw SH" sheetId="2" r:id="rId1"/>
    <sheet name="Sheet1" sheetId="3" r:id="rId2"/>
  </sheets>
  <definedNames>
    <definedName name="_xlnm.Print_Area" localSheetId="0">'Crenshaw SH'!$A$1:$U$110</definedName>
    <definedName name="_xlnm.Print_Titles" localSheetId="0">'Crenshaw SH'!$7:$9</definedName>
  </definedNames>
  <calcPr calcId="145621" concurrentCalc="0"/>
</workbook>
</file>

<file path=xl/calcChain.xml><?xml version="1.0" encoding="utf-8"?>
<calcChain xmlns="http://schemas.openxmlformats.org/spreadsheetml/2006/main">
  <c r="T99" i="2" l="1"/>
  <c r="T87" i="2"/>
  <c r="S87" i="2"/>
  <c r="T101" i="2"/>
  <c r="T100" i="2"/>
  <c r="T45" i="2"/>
  <c r="T46" i="2"/>
  <c r="S99" i="2"/>
  <c r="S101" i="2"/>
  <c r="T97" i="2"/>
  <c r="T88" i="2"/>
  <c r="T74" i="2"/>
  <c r="T43" i="2"/>
  <c r="T44" i="2"/>
  <c r="T75" i="2"/>
  <c r="T78" i="2"/>
  <c r="S78" i="2"/>
  <c r="T47" i="2"/>
  <c r="S47" i="2"/>
  <c r="S89" i="2"/>
  <c r="T102" i="2"/>
  <c r="T23" i="2"/>
  <c r="T59" i="2"/>
  <c r="T93" i="2"/>
  <c r="T56" i="2"/>
  <c r="T61" i="2"/>
  <c r="T84" i="2"/>
  <c r="T50" i="2"/>
  <c r="T17" i="2"/>
  <c r="T27" i="2"/>
  <c r="T42" i="2"/>
  <c r="S97" i="2"/>
  <c r="S102" i="2"/>
  <c r="S88" i="2"/>
  <c r="S93" i="2"/>
  <c r="S56" i="2"/>
  <c r="S59" i="2"/>
  <c r="S61" i="2"/>
  <c r="S75" i="2"/>
  <c r="S76" i="2"/>
  <c r="S77" i="2"/>
  <c r="S84" i="2"/>
  <c r="S44" i="2"/>
  <c r="S45" i="2"/>
  <c r="S46" i="2"/>
  <c r="S50" i="2"/>
  <c r="S17" i="2"/>
  <c r="S23" i="2"/>
  <c r="S27" i="2"/>
  <c r="S42" i="2"/>
  <c r="S106" i="2"/>
  <c r="S108" i="2"/>
  <c r="S109" i="2"/>
  <c r="S110" i="2"/>
  <c r="N58" i="2"/>
  <c r="N54" i="2"/>
  <c r="N55" i="2"/>
  <c r="N80" i="2"/>
  <c r="N49" i="2"/>
  <c r="N43" i="2"/>
  <c r="N50" i="2"/>
  <c r="N101" i="2"/>
  <c r="N102" i="2"/>
  <c r="N93" i="2"/>
  <c r="N42" i="2"/>
  <c r="N84" i="2"/>
  <c r="N106" i="2"/>
  <c r="N109" i="2"/>
  <c r="N110" i="2"/>
  <c r="M88" i="2"/>
  <c r="A6" i="3"/>
  <c r="B42" i="2"/>
  <c r="Q93" i="2"/>
  <c r="Q105" i="2"/>
  <c r="Q102" i="2"/>
  <c r="Q84" i="2"/>
  <c r="Q50" i="2"/>
  <c r="Q42" i="2"/>
  <c r="Q106" i="2"/>
  <c r="Q109" i="2"/>
  <c r="Q110" i="2"/>
  <c r="Q112" i="2"/>
  <c r="R93" i="2"/>
  <c r="R102" i="2"/>
  <c r="R84" i="2"/>
  <c r="R50" i="2"/>
  <c r="R42" i="2"/>
  <c r="R106" i="2"/>
  <c r="R109" i="2"/>
  <c r="R110" i="2"/>
  <c r="R112" i="2"/>
  <c r="P93" i="2"/>
  <c r="J93" i="2"/>
  <c r="K93" i="2"/>
  <c r="I93" i="2"/>
  <c r="E93" i="2"/>
  <c r="F93" i="2"/>
  <c r="G93" i="2"/>
  <c r="D93" i="2"/>
  <c r="D105" i="2"/>
  <c r="D102" i="2"/>
  <c r="D84" i="2"/>
  <c r="D50" i="2"/>
  <c r="D42" i="2"/>
  <c r="D106" i="2"/>
  <c r="D109" i="2"/>
  <c r="D110" i="2"/>
  <c r="D112" i="2"/>
  <c r="M101" i="2"/>
  <c r="M99" i="2"/>
  <c r="M102" i="2"/>
  <c r="M90" i="2"/>
  <c r="M89" i="2"/>
  <c r="M87" i="2"/>
  <c r="M93" i="2"/>
  <c r="M77" i="2"/>
  <c r="M76" i="2"/>
  <c r="M59" i="2"/>
  <c r="M84" i="2"/>
  <c r="M45" i="2"/>
  <c r="M46" i="2"/>
  <c r="M50" i="2"/>
  <c r="M23" i="2"/>
  <c r="M42" i="2"/>
  <c r="M108" i="2"/>
  <c r="M109" i="2"/>
  <c r="L101" i="2"/>
  <c r="L99" i="2"/>
  <c r="L102" i="2"/>
  <c r="L87" i="2"/>
  <c r="L88" i="2"/>
  <c r="L89" i="2"/>
  <c r="L90" i="2"/>
  <c r="L93" i="2"/>
  <c r="L77" i="2"/>
  <c r="L76" i="2"/>
  <c r="L59" i="2"/>
  <c r="L84" i="2"/>
  <c r="L45" i="2"/>
  <c r="L46" i="2"/>
  <c r="L50" i="2"/>
  <c r="L23" i="2"/>
  <c r="L42" i="2"/>
  <c r="L108" i="2"/>
  <c r="L109" i="2"/>
  <c r="F84" i="2"/>
  <c r="F102" i="2"/>
  <c r="F50" i="2"/>
  <c r="F42" i="2"/>
  <c r="F106" i="2"/>
  <c r="F109" i="2"/>
  <c r="F110" i="2"/>
  <c r="F112" i="2"/>
  <c r="G84" i="2"/>
  <c r="G102" i="2"/>
  <c r="G50" i="2"/>
  <c r="G42" i="2"/>
  <c r="G106" i="2"/>
  <c r="G109" i="2"/>
  <c r="G110" i="2"/>
  <c r="G112" i="2"/>
  <c r="K109" i="2"/>
  <c r="K102" i="2"/>
  <c r="K84" i="2"/>
  <c r="K50" i="2"/>
  <c r="K42" i="2"/>
  <c r="K106" i="2"/>
  <c r="K110" i="2"/>
  <c r="K112" i="2"/>
  <c r="P102" i="2"/>
  <c r="J102" i="2"/>
  <c r="I102" i="2"/>
  <c r="E102" i="2"/>
  <c r="E105" i="2"/>
  <c r="E84" i="2"/>
  <c r="E50" i="2"/>
  <c r="E42" i="2"/>
  <c r="E106" i="2"/>
  <c r="E109" i="2"/>
  <c r="E110" i="2"/>
  <c r="E112" i="2"/>
  <c r="P84" i="2"/>
  <c r="P105" i="2"/>
  <c r="P50" i="2"/>
  <c r="P42" i="2"/>
  <c r="P106" i="2"/>
  <c r="P109" i="2"/>
  <c r="P110" i="2"/>
  <c r="P112" i="2"/>
  <c r="J84" i="2"/>
  <c r="J105" i="2"/>
  <c r="J50" i="2"/>
  <c r="J42" i="2"/>
  <c r="J106" i="2"/>
  <c r="J109" i="2"/>
  <c r="J110" i="2"/>
  <c r="J112" i="2"/>
  <c r="I84" i="2"/>
  <c r="I105" i="2"/>
  <c r="I50" i="2"/>
  <c r="I42" i="2"/>
  <c r="I106" i="2"/>
  <c r="I109" i="2"/>
  <c r="I110" i="2"/>
  <c r="I112" i="2"/>
  <c r="B105" i="2"/>
  <c r="B102" i="2"/>
  <c r="B93" i="2"/>
  <c r="B84" i="2"/>
  <c r="B50" i="2"/>
  <c r="B106" i="2"/>
  <c r="B109" i="2"/>
  <c r="M106" i="2"/>
  <c r="M110" i="2"/>
  <c r="M112" i="2"/>
  <c r="S112" i="2"/>
  <c r="L106" i="2"/>
  <c r="L110" i="2"/>
  <c r="L112" i="2"/>
  <c r="T106" i="2"/>
  <c r="N114" i="2"/>
  <c r="N112" i="2"/>
  <c r="T109" i="2"/>
  <c r="T110" i="2"/>
  <c r="T116" i="2"/>
  <c r="T112" i="2"/>
</calcChain>
</file>

<file path=xl/sharedStrings.xml><?xml version="1.0" encoding="utf-8"?>
<sst xmlns="http://schemas.openxmlformats.org/spreadsheetml/2006/main" count="141" uniqueCount="133">
  <si>
    <t>Object Code</t>
  </si>
  <si>
    <t>6000-6999</t>
  </si>
  <si>
    <t>1000-1999</t>
  </si>
  <si>
    <t>2000-2999</t>
  </si>
  <si>
    <t>3000-3999</t>
  </si>
  <si>
    <t>4000-4999</t>
  </si>
  <si>
    <t>5000-5999</t>
  </si>
  <si>
    <t>Activity Description</t>
  </si>
  <si>
    <t xml:space="preserve">SIG Funds Budgeted </t>
  </si>
  <si>
    <t>(Identified per year)</t>
  </si>
  <si>
    <t>7310/7350</t>
  </si>
  <si>
    <t>Budget Subtotals</t>
  </si>
  <si>
    <t>Totals</t>
  </si>
  <si>
    <t>CA Dept of Education</t>
  </si>
  <si>
    <t>Indirect</t>
  </si>
  <si>
    <t>Pre-Imp</t>
  </si>
  <si>
    <t>School Budget Narrative</t>
  </si>
  <si>
    <t>Please color all changes within your narratives.</t>
  </si>
  <si>
    <t>1000 Series Totals</t>
  </si>
  <si>
    <t>2000 Series Totals</t>
  </si>
  <si>
    <t>3000 Series Totals</t>
  </si>
  <si>
    <t>4000 Series Totals</t>
  </si>
  <si>
    <t>5000 Series Totals</t>
  </si>
  <si>
    <t>6000 Series Totals</t>
  </si>
  <si>
    <t>7000 Series Totals</t>
  </si>
  <si>
    <r>
      <t xml:space="preserve">A3 Effective lead teachers who have facilitated implementation of the school wide instructional focus and formative assessments related to the school wide focus will receive $500 stipend.  </t>
    </r>
    <r>
      <rPr>
        <strike/>
        <sz val="11"/>
        <color indexed="8"/>
        <rFont val="Arial"/>
        <family val="2"/>
      </rPr>
      <t>Up to 10 lead teachers. $75.00 ea. Employee Benefits = $750.</t>
    </r>
  </si>
  <si>
    <r>
      <t xml:space="preserve">A4 Participating teachers and leaders will have access to a $500 allowance to support their growth activities.   </t>
    </r>
    <r>
      <rPr>
        <strike/>
        <sz val="11"/>
        <color indexed="8"/>
        <rFont val="Arial"/>
        <family val="2"/>
      </rPr>
      <t>Employee Benefits = $1,500.</t>
    </r>
  </si>
  <si>
    <r>
      <t xml:space="preserve">A4 Year 1: </t>
    </r>
    <r>
      <rPr>
        <sz val="11"/>
        <color indexed="8"/>
        <rFont val="Arial"/>
        <family val="2"/>
      </rPr>
      <t xml:space="preserve">$500 per semester stipend to the 4 support persons listed above who are providing teacher support. Employee Benefits = $280. </t>
    </r>
  </si>
  <si>
    <r>
      <t xml:space="preserve">A4 Year 1: </t>
    </r>
    <r>
      <rPr>
        <sz val="11"/>
        <color indexed="8"/>
        <rFont val="Arial"/>
        <family val="2"/>
      </rPr>
      <t>Appoint from the faculty, half time (3 periods) instructional coaches for each of the 4 core content areas who have demonstrated exemplary implementation of the school’s instructional focus within their respective content specialization.  They will lead in planning research and standards based instruction and in visiting classrooms to assist teachers with implementation. 2- FTEs; $30,000 in benefits.</t>
    </r>
    <r>
      <rPr>
        <strike/>
        <sz val="11"/>
        <color indexed="8"/>
        <rFont val="Arial"/>
        <family val="2"/>
      </rPr>
      <t xml:space="preserve"> </t>
    </r>
  </si>
  <si>
    <r>
      <t xml:space="preserve">A4 Year 1: </t>
    </r>
    <r>
      <rPr>
        <sz val="11"/>
        <color indexed="8"/>
        <rFont val="Arial"/>
        <family val="2"/>
      </rPr>
      <t>Up to 12 teachers across all core content areas attend the WestEd Reading Apprenticeship sessions during the summer (with no charge by WestEd) will receive a $300. stipend. Teachers will participate in school instructional planning by sharing reading strategies learned within their respective departments and small learning communities</t>
    </r>
    <r>
      <rPr>
        <strike/>
        <sz val="11"/>
        <color indexed="8"/>
        <rFont val="Arial"/>
        <family val="2"/>
      </rPr>
      <t xml:space="preserve">. </t>
    </r>
    <r>
      <rPr>
        <sz val="11"/>
        <color indexed="8"/>
        <rFont val="Arial"/>
        <family val="2"/>
      </rPr>
      <t xml:space="preserve">Stipend </t>
    </r>
    <r>
      <rPr>
        <strike/>
        <sz val="11"/>
        <color indexed="8"/>
        <rFont val="Arial"/>
        <family val="2"/>
      </rPr>
      <t>plus Employee Benefits = $504.</t>
    </r>
  </si>
  <si>
    <r>
      <t xml:space="preserve">A4 Year 1: </t>
    </r>
    <r>
      <rPr>
        <sz val="11"/>
        <color indexed="8"/>
        <rFont val="Arial"/>
        <family val="2"/>
      </rPr>
      <t>In order to provide up to 40 teachers with common planning time in their respective SLCs (approximately 8 teachers per SLC), the school will need 20 periods to accommodate approximately 130 students during their SLC teachers’ common conference period at a class size of approximately 34:1 for 5 SLCs, a total of 5 additional FTEs are needed.</t>
    </r>
    <r>
      <rPr>
        <strike/>
        <sz val="11"/>
        <color indexed="8"/>
        <rFont val="Arial"/>
        <family val="2"/>
      </rPr>
      <t xml:space="preserve"> Employee Benefits = $60,000.</t>
    </r>
  </si>
  <si>
    <r>
      <t xml:space="preserve">Years 2-3: Collaborative Planning Time 
(3 FTE) 
</t>
    </r>
    <r>
      <rPr>
        <sz val="11"/>
        <color indexed="8"/>
        <rFont val="Arial"/>
        <family val="2"/>
      </rPr>
      <t>To facilitate the development of effective Professional Learning Communities (PLCs), the school will need to provide common conference periods for teachers in each department for collaborative planning, data-analysis, problem-solving, and lesson planning. This will require three enrichment teachers to accommodate approximately 105 students, during each department’s common conference period.</t>
    </r>
  </si>
  <si>
    <r>
      <t xml:space="preserve">Teacher Peer Observation 
</t>
    </r>
    <r>
      <rPr>
        <sz val="11"/>
        <color indexed="8"/>
        <rFont val="Arial"/>
        <family val="2"/>
      </rPr>
      <t xml:space="preserve">Substitutes will be provided to allow teachers release time to observe effective teaching practice and use reflective protocols analyze observations. </t>
    </r>
    <r>
      <rPr>
        <sz val="11"/>
        <color indexed="8"/>
        <rFont val="Arial"/>
        <family val="2"/>
      </rPr>
      <t>Y2-3: 60 days x $209/day = $12,540</t>
    </r>
  </si>
  <si>
    <r>
      <t xml:space="preserve">Intervention Support Coordinator (1 FTE) 
</t>
    </r>
    <r>
      <rPr>
        <sz val="11"/>
        <color indexed="8"/>
        <rFont val="Arial"/>
        <family val="2"/>
      </rPr>
      <t>The school needs an Intervention Support Coordinator to support its’ implementation of an “integration model” that focuses on servicing students with disabilities primarily in the general education setting. The Intervention Support Coordinator will have a key role in supporting and monitoring the implementation of the integration model by ensuring regular student progress monitoring, developing and guiding academic interventions, providing professional development on co-teaching/co-planning, and facilitating collaboration between general education and special education teachers</t>
    </r>
    <r>
      <rPr>
        <sz val="12"/>
        <color indexed="8"/>
        <rFont val="Calibri"/>
        <family val="2"/>
      </rPr>
      <t>.</t>
    </r>
  </si>
  <si>
    <r>
      <t xml:space="preserve">A4 Year 1 only: </t>
    </r>
    <r>
      <rPr>
        <sz val="11"/>
        <color indexed="8"/>
        <rFont val="Arial"/>
        <family val="2"/>
      </rPr>
      <t xml:space="preserve">Members of departments will receive their hourly rate for 2 hours of meeting time each month in addition to District banked time, either afterschool or on Saturdays. Budgeted for approximately 30 teachers who will participate @73.00 per hour with benefits for 10 months. </t>
    </r>
    <r>
      <rPr>
        <strike/>
        <sz val="11"/>
        <color indexed="8"/>
        <rFont val="Arial"/>
        <family val="2"/>
      </rPr>
      <t>Employee Benefits = $11,400.</t>
    </r>
  </si>
  <si>
    <r>
      <t xml:space="preserve">B1 Year 1: </t>
    </r>
    <r>
      <rPr>
        <sz val="11"/>
        <color indexed="8"/>
        <rFont val="Arial"/>
        <family val="2"/>
      </rPr>
      <t xml:space="preserve">Data team to implement a week of analyzing CST and school data in August each year to update the school-wide instructional and operational focus for 5 days x 4 hours x 10 teachers and instruction coaches at the rate of $37.00 per hour.  </t>
    </r>
    <r>
      <rPr>
        <strike/>
        <sz val="11"/>
        <color indexed="8"/>
        <rFont val="Arial"/>
        <family val="2"/>
      </rPr>
      <t>Employee Benefits = $1,036</t>
    </r>
    <r>
      <rPr>
        <sz val="11"/>
        <color indexed="8"/>
        <rFont val="Arial"/>
        <family val="2"/>
      </rPr>
      <t>.</t>
    </r>
  </si>
  <si>
    <r>
      <t xml:space="preserve">B2-C1 Year 1: </t>
    </r>
    <r>
      <rPr>
        <sz val="11"/>
        <color indexed="8"/>
        <rFont val="Arial"/>
        <family val="2"/>
      </rPr>
      <t>Saturday School Teacher Assistants or tutors 3 hours per week for 7 months (25 sessions).  Average 3 TA’s per session @$15.00 per hour</t>
    </r>
    <r>
      <rPr>
        <strike/>
        <sz val="11"/>
        <color indexed="8"/>
        <rFont val="Arial"/>
        <family val="2"/>
      </rPr>
      <t xml:space="preserve"> with benefits + $300.</t>
    </r>
  </si>
  <si>
    <r>
      <t xml:space="preserve">College and Career Counselor (1 FTE) 
</t>
    </r>
    <r>
      <rPr>
        <sz val="11"/>
        <color indexed="8"/>
        <rFont val="Arial"/>
        <family val="2"/>
      </rPr>
      <t>The school needs an additional counselor to provide counseling services for early identification and intervention in order to remove barriers to academic achievement for students in danger of not graduating college and/or career ready.</t>
    </r>
  </si>
  <si>
    <r>
      <t xml:space="preserve">B2 Year 1: </t>
    </r>
    <r>
      <rPr>
        <sz val="11"/>
        <color indexed="8"/>
        <rFont val="Arial"/>
        <family val="2"/>
      </rPr>
      <t>To provide enrichment experiences in the community and on the school campus, purchase 2 FTEs: CTE (ROP) and/or visual and performing arts instructors. Employee Benefits = $32,000. 
Match funds with community colleges to enroll high school students for enrichment and college credits; Purchase instructional equipment and materials, i.e., musical instruments, stage set building materials for theater production activities both in-school and beyond the school day. (Cost listed below in Object Code 4000-5000)</t>
    </r>
  </si>
  <si>
    <r>
      <t xml:space="preserve">C1 </t>
    </r>
    <r>
      <rPr>
        <sz val="11"/>
        <color indexed="8"/>
        <rFont val="Arial"/>
        <family val="2"/>
      </rPr>
      <t xml:space="preserve">All teachers and admin </t>
    </r>
    <r>
      <rPr>
        <strike/>
        <sz val="11"/>
        <color indexed="8"/>
        <rFont val="Arial"/>
        <family val="2"/>
      </rPr>
      <t>(approximately 49)</t>
    </r>
    <r>
      <rPr>
        <sz val="11"/>
        <color indexed="8"/>
        <rFont val="Arial"/>
        <family val="2"/>
      </rPr>
      <t xml:space="preserve"> will receive a $2500 stipend for year 1 and $1500. For year 2 and 3 according to SIG requirements</t>
    </r>
    <r>
      <rPr>
        <strike/>
        <sz val="11"/>
        <color indexed="8"/>
        <rFont val="Arial"/>
        <family val="2"/>
      </rPr>
      <t xml:space="preserve">. Employee Benefits = $33,301 17,530 for 2012-2013 and $19,741 respectively. </t>
    </r>
    <r>
      <rPr>
        <sz val="11"/>
        <color indexed="8"/>
        <rFont val="Arial"/>
        <family val="2"/>
      </rPr>
      <t xml:space="preserve">Y2-3: 80 Certificated personnel x $1,500 Stipend = $120,000 </t>
    </r>
  </si>
  <si>
    <r>
      <t xml:space="preserve">C1 </t>
    </r>
    <r>
      <rPr>
        <strike/>
        <sz val="11"/>
        <color indexed="8"/>
        <rFont val="Arial"/>
        <family val="2"/>
      </rPr>
      <t>To increase the school day by 20 minutes, 45 teachers and 4 administrators. Rate is according to district calculations. Employee Benefits = $50,932</t>
    </r>
    <r>
      <rPr>
        <sz val="11"/>
        <color indexed="8"/>
        <rFont val="Arial"/>
        <family val="2"/>
      </rPr>
      <t>.</t>
    </r>
  </si>
  <si>
    <r>
      <t>Pre- School Year PD Institute</t>
    </r>
    <r>
      <rPr>
        <b/>
        <sz val="11"/>
        <color indexed="8"/>
        <rFont val="Arial"/>
        <family val="2"/>
      </rPr>
      <t xml:space="preserve"> Classified Staff Development 
</t>
    </r>
    <r>
      <rPr>
        <sz val="11"/>
        <color indexed="8"/>
        <rFont val="Arial"/>
        <family val="2"/>
      </rPr>
      <t xml:space="preserve">The school will </t>
    </r>
    <r>
      <rPr>
        <strike/>
        <sz val="11"/>
        <color indexed="8"/>
        <rFont val="Arial"/>
        <family val="2"/>
      </rPr>
      <t>hold a two day PD Institute</t>
    </r>
    <r>
      <rPr>
        <sz val="11"/>
        <color indexed="8"/>
        <rFont val="Arial"/>
        <family val="2"/>
      </rPr>
      <t xml:space="preserve"> provide additional staff development time for classified employees, to allow for reflection, training, planning, and data analysis. Y2-3: 30 Classified Staff Members x 12 hours x $10/hour = $3,600</t>
    </r>
  </si>
  <si>
    <t>Effective Lead Teacher Stipend</t>
  </si>
  <si>
    <t>Professional Growth Activities</t>
  </si>
  <si>
    <t>Instructional Coaches (2 FTE)</t>
  </si>
  <si>
    <t>Collaborative Planning Time</t>
  </si>
  <si>
    <t>Summer PD Stipend</t>
  </si>
  <si>
    <t>Peer Observation</t>
  </si>
  <si>
    <t>Intervention Support Coordinator</t>
  </si>
  <si>
    <t>Summer Program</t>
  </si>
  <si>
    <t>SIG PD Stipend</t>
  </si>
  <si>
    <t>Extended Learning Time</t>
  </si>
  <si>
    <t>Psychiatric Social Worker</t>
  </si>
  <si>
    <t>School Nurse</t>
  </si>
  <si>
    <t>Parent Liaisons</t>
  </si>
  <si>
    <t>Community Representatives</t>
  </si>
  <si>
    <t>Clerical Overtime</t>
  </si>
  <si>
    <t>Custodial Overtime</t>
  </si>
  <si>
    <t>School Supervision Aides</t>
  </si>
  <si>
    <t xml:space="preserve">Professional Development </t>
  </si>
  <si>
    <t>Summer Program Z-time</t>
  </si>
  <si>
    <r>
      <t>Professional Development Institute</t>
    </r>
    <r>
      <rPr>
        <sz val="11"/>
        <color indexed="8"/>
        <rFont val="Arial"/>
        <family val="2"/>
      </rPr>
      <t xml:space="preserve"> 
Staff Collaboration (Certificated X-Time)</t>
    </r>
  </si>
  <si>
    <t xml:space="preserve">Certificated Personnel Benefits </t>
  </si>
  <si>
    <t>Year 1</t>
  </si>
  <si>
    <t>Years 2-3</t>
  </si>
  <si>
    <t>Classified Personnel Benefits</t>
  </si>
  <si>
    <r>
      <t xml:space="preserve">Funds to support parent training and engagement activities. 
</t>
    </r>
    <r>
      <rPr>
        <sz val="11"/>
        <color indexed="8"/>
        <rFont val="Arial"/>
        <family val="2"/>
      </rPr>
      <t xml:space="preserve">Carryover funds will be used to provide additional </t>
    </r>
    <r>
      <rPr>
        <sz val="11"/>
        <color indexed="8"/>
        <rFont val="Arial"/>
        <family val="2"/>
      </rPr>
      <t>parent training and engagement activities.</t>
    </r>
  </si>
  <si>
    <r>
      <t xml:space="preserve">A4 </t>
    </r>
    <r>
      <rPr>
        <strike/>
        <sz val="11"/>
        <color indexed="8"/>
        <rFont val="Arial"/>
        <family val="2"/>
      </rPr>
      <t>Bradley Foundation to provide professional development in meeting the psychosocial and emotional needs of students in (5) 4 hr. sessions.</t>
    </r>
  </si>
  <si>
    <r>
      <t xml:space="preserve">A4 </t>
    </r>
    <r>
      <rPr>
        <strike/>
        <sz val="11"/>
        <color indexed="8"/>
        <rFont val="Arial"/>
        <family val="2"/>
      </rPr>
      <t>USC Rossier School of Education will provide a half-time instructional coordinator to oversee the implementation of the school’s instructional plan and 4 coaches who will meet with up to 3 teachers twice a month, for planning, providing feedback from classroom observations, and engaging teachers in reflections about their teaching. They will target 9</t>
    </r>
    <r>
      <rPr>
        <strike/>
        <vertAlign val="superscript"/>
        <sz val="11"/>
        <color indexed="8"/>
        <rFont val="Arial"/>
        <family val="2"/>
      </rPr>
      <t>th</t>
    </r>
    <r>
      <rPr>
        <strike/>
        <sz val="11"/>
        <color indexed="8"/>
        <rFont val="Arial"/>
        <family val="2"/>
      </rPr>
      <t xml:space="preserve"> grade teachers to address students’ gaps in meeting content and ELA standards from previous years based on disaggregated CST data.</t>
    </r>
  </si>
  <si>
    <r>
      <t xml:space="preserve">B2 </t>
    </r>
    <r>
      <rPr>
        <strike/>
        <sz val="11"/>
        <color indexed="8"/>
        <rFont val="Arial"/>
        <family val="2"/>
      </rPr>
      <t>Bus transportation related to the enrichment activities, i.e., internships, job shadowing, community college classes</t>
    </r>
  </si>
  <si>
    <r>
      <t xml:space="preserve">Year 3: Contract Instructional Services </t>
    </r>
    <r>
      <rPr>
        <strike/>
        <sz val="11"/>
        <color indexed="8"/>
        <rFont val="Arial"/>
        <family val="2"/>
      </rPr>
      <t>A service contract will be made with the Buck Institute for Education to provide training on project-based learning during SY 2013-2015.</t>
    </r>
  </si>
  <si>
    <r>
      <t xml:space="preserve">Years 2-3: Instructional Coaches- (2.0 FTE)
</t>
    </r>
    <r>
      <rPr>
        <sz val="11"/>
        <color indexed="8"/>
        <rFont val="Arial"/>
        <family val="2"/>
      </rPr>
      <t>To ensure the successful implementation of the California Common Core Standards, school wide writing across the curriculum, and to build teacher capacity in the use of effective evidence-based instructional practices, the school needs two (English and Math) Full-time Instructional Coaches.</t>
    </r>
  </si>
  <si>
    <t>1100 1200 1300 1500 1900</t>
  </si>
  <si>
    <t>1203 1503</t>
  </si>
  <si>
    <t>1103 1203 1303 1403 1503 1903</t>
  </si>
  <si>
    <t>4000 4310 4501 4490</t>
  </si>
  <si>
    <t>School Name: Crenshaw Senior High School</t>
  </si>
  <si>
    <r>
      <t xml:space="preserve">B2 Year 1: </t>
    </r>
    <r>
      <rPr>
        <sz val="11"/>
        <color indexed="8"/>
        <rFont val="Arial"/>
        <family val="2"/>
      </rPr>
      <t xml:space="preserve">Assign the equivalent of 4 FTEs for in-school tutorial classes to address the needs of approximately 300 students scoring at FBB in class sizes of 27:1 for increasing their academic performance by 1 achievement band on CST each year by addressing gaps in students’ prior-grade level standards proficiency.
</t>
    </r>
    <r>
      <rPr>
        <strike/>
        <sz val="11"/>
        <color indexed="8"/>
        <rFont val="Arial"/>
        <family val="2"/>
      </rPr>
      <t>Employee Benefits = $60,000.</t>
    </r>
  </si>
  <si>
    <r>
      <t>B2 Year 1: Implementation of a 2-week summer program for 150 9</t>
    </r>
    <r>
      <rPr>
        <vertAlign val="superscript"/>
        <sz val="11"/>
        <color indexed="8"/>
        <rFont val="Arial"/>
        <family val="2"/>
      </rPr>
      <t>th</t>
    </r>
    <r>
      <rPr>
        <sz val="11"/>
        <color indexed="8"/>
        <rFont val="Arial"/>
        <family val="2"/>
      </rPr>
      <t xml:space="preserve"> and 10</t>
    </r>
    <r>
      <rPr>
        <vertAlign val="superscript"/>
        <sz val="11"/>
        <color indexed="8"/>
        <rFont val="Arial"/>
        <family val="2"/>
      </rPr>
      <t>th</t>
    </r>
    <r>
      <rPr>
        <sz val="11"/>
        <color indexed="8"/>
        <rFont val="Arial"/>
        <family val="2"/>
      </rPr>
      <t xml:space="preserve"> grade FBB students requires 7 teachers for a class size of 30 x 10 days at a their hourly rate for 4 hours per day.
</t>
    </r>
    <r>
      <rPr>
        <strike/>
        <sz val="11"/>
        <color indexed="8"/>
        <rFont val="Arial"/>
        <family val="2"/>
      </rPr>
      <t>Employee Benefits = $1,330.</t>
    </r>
  </si>
  <si>
    <t>Budget Changes 08/2012</t>
  </si>
  <si>
    <t>Budget Changes 06/2013</t>
  </si>
  <si>
    <r>
      <t xml:space="preserve">B2 &amp; C1 Year 1 only: </t>
    </r>
    <r>
      <rPr>
        <sz val="11"/>
        <color indexed="8"/>
        <rFont val="Arial"/>
        <family val="2"/>
      </rPr>
      <t>Saturday School for tutoring requires 1-2 credentialed teachers for 7 months @ 3 hours per session = 25 weeks. Teacher receives her or his hourly rate. Rate for average teacher salary.</t>
    </r>
    <r>
      <rPr>
        <strike/>
        <sz val="11"/>
        <color indexed="8"/>
        <rFont val="Arial"/>
        <family val="2"/>
      </rPr>
      <t xml:space="preserve"> 
Employee Benefits = $2,800. </t>
    </r>
  </si>
  <si>
    <t xml:space="preserve">Budget Changes
07/2013 </t>
  </si>
  <si>
    <t>Budget Changes
11/2013</t>
  </si>
  <si>
    <t>Pending Distribution - amended award</t>
  </si>
  <si>
    <t>1103
1203</t>
  </si>
  <si>
    <t>Restorative Justice Coordinator</t>
  </si>
  <si>
    <t xml:space="preserve">College Counselor </t>
  </si>
  <si>
    <t>School Librarian</t>
  </si>
  <si>
    <t>total budget</t>
  </si>
  <si>
    <t>variance</t>
  </si>
  <si>
    <t>Instructional Specialist</t>
  </si>
  <si>
    <t>FY 2012-13
Original Budget</t>
  </si>
  <si>
    <t xml:space="preserve">FY 2012-13
Budget Changes
11/2013 </t>
  </si>
  <si>
    <t>FY 2013-14
Original Budget</t>
  </si>
  <si>
    <t>FY 2014-15
Original Budget</t>
  </si>
  <si>
    <t xml:space="preserve">FY 2014-15
Budget Changes
07/2014 </t>
  </si>
  <si>
    <t>FY 2013-14
Budget Changes
(Actuals)</t>
  </si>
  <si>
    <t>FY 2013-14
Budget Changes</t>
  </si>
  <si>
    <r>
      <t xml:space="preserve">Years 2-3: 
Summer Professional Development (PD) Stipend 
</t>
    </r>
    <r>
      <rPr>
        <sz val="11"/>
        <rFont val="Arial"/>
      </rPr>
      <t xml:space="preserve">Up to 15 Certificated staff members who attend school supported, summer professional development for AVID, Project Lead the Way, College Board, </t>
    </r>
    <r>
      <rPr>
        <strike/>
        <sz val="11"/>
        <rFont val="Arial"/>
      </rPr>
      <t>and/or the Buck Institute</t>
    </r>
    <r>
      <rPr>
        <sz val="11"/>
        <rFont val="Arial"/>
      </rPr>
      <t xml:space="preserve"> will receive </t>
    </r>
    <r>
      <rPr>
        <strike/>
        <sz val="11"/>
        <rFont val="Arial"/>
      </rPr>
      <t>a $500 (1-5 days PD) or</t>
    </r>
    <r>
      <rPr>
        <sz val="11"/>
        <rFont val="Arial"/>
      </rPr>
      <t xml:space="preserve"> a </t>
    </r>
    <r>
      <rPr>
        <strike/>
        <sz val="11"/>
        <rFont val="Arial"/>
      </rPr>
      <t>$1000</t>
    </r>
    <r>
      <rPr>
        <sz val="11"/>
        <rFont val="Arial"/>
      </rPr>
      <t xml:space="preserve"> </t>
    </r>
    <r>
      <rPr>
        <strike/>
        <sz val="11"/>
        <rFont val="Arial"/>
      </rPr>
      <t xml:space="preserve">(More than 5 days PD) </t>
    </r>
    <r>
      <rPr>
        <sz val="11"/>
        <rFont val="Arial"/>
      </rPr>
      <t xml:space="preserve"> a $200/per training day stipend.  Teachers will participate in school instructional planning by sharing strategies learned within their respective departments and magnet programs.
Year 3: Carry over funds will be used to provide additional stipends for up to an additional 20 Certificated staff members</t>
    </r>
  </si>
  <si>
    <r>
      <t xml:space="preserve">Saturday Intervention and Enrichment
</t>
    </r>
    <r>
      <rPr>
        <sz val="11"/>
        <rFont val="Arial"/>
      </rPr>
      <t>School will provide a Saturday core academic intervention program for students in danger of failing the CAHSEE or repeating a course. Y2-3: Teachers (2 teachers x  96 hours x$60/hr = $11,520); Administrator (1 Administrator x 128 hours x $60 hour = $7,680)
Year 3: Carry over funds will be used to provide Saturday enrichment for Advanced Placement course preparation, SAT/ACT Prep, and Visual/Performing Arts experiences. (4 teachers x  80 hours x $60/hr = $19,200)</t>
    </r>
  </si>
  <si>
    <r>
      <t xml:space="preserve">Years 2-3: </t>
    </r>
    <r>
      <rPr>
        <b/>
        <strike/>
        <sz val="11"/>
        <rFont val="Arial"/>
        <family val="2"/>
      </rPr>
      <t>Intervention Teacher</t>
    </r>
    <r>
      <rPr>
        <b/>
        <sz val="11"/>
        <rFont val="Arial"/>
      </rPr>
      <t xml:space="preserve">  Response to Intervention Coordinator (RTI</t>
    </r>
    <r>
      <rPr>
        <b/>
        <vertAlign val="superscript"/>
        <sz val="11"/>
        <rFont val="Arial"/>
      </rPr>
      <t>2</t>
    </r>
    <r>
      <rPr>
        <b/>
        <sz val="11"/>
        <rFont val="Arial"/>
      </rPr>
      <t xml:space="preserve">) (1 FTE)
</t>
    </r>
    <r>
      <rPr>
        <sz val="11"/>
        <rFont val="Arial"/>
      </rPr>
      <t xml:space="preserve">The school needs one </t>
    </r>
    <r>
      <rPr>
        <strike/>
        <sz val="11"/>
        <rFont val="Arial"/>
      </rPr>
      <t>intervention teacher</t>
    </r>
    <r>
      <rPr>
        <sz val="11"/>
        <rFont val="Arial"/>
      </rPr>
      <t xml:space="preserve"> RTI</t>
    </r>
    <r>
      <rPr>
        <vertAlign val="superscript"/>
        <sz val="11"/>
        <rFont val="Arial"/>
      </rPr>
      <t>2</t>
    </r>
    <r>
      <rPr>
        <sz val="11"/>
        <rFont val="Arial"/>
      </rPr>
      <t xml:space="preserve"> Coordinator to organize, monitor, and </t>
    </r>
    <r>
      <rPr>
        <strike/>
        <sz val="11"/>
        <rFont val="Arial"/>
      </rPr>
      <t>to</t>
    </r>
    <r>
      <rPr>
        <sz val="11"/>
        <rFont val="Arial"/>
      </rPr>
      <t xml:space="preserve"> provide academic support through tutoring, credit recovery, and/or behavior intervention during and beyond the regular school day.  This will support</t>
    </r>
    <r>
      <rPr>
        <strike/>
        <sz val="11"/>
        <rFont val="Arial"/>
      </rPr>
      <t xml:space="preserve"> for</t>
    </r>
    <r>
      <rPr>
        <sz val="11"/>
        <rFont val="Arial"/>
      </rPr>
      <t xml:space="preserve"> students who are in danger of failing core academic courses, performing BB/FBB on the </t>
    </r>
    <r>
      <rPr>
        <strike/>
        <sz val="11"/>
        <rFont val="Arial"/>
      </rPr>
      <t>CST</t>
    </r>
    <r>
      <rPr>
        <sz val="11"/>
        <rFont val="Arial"/>
      </rPr>
      <t xml:space="preserve"> local performance measures, and/or students who are not on track graduate due to credit deficiency.  This coordinator will also oversee progress monitoring for all school wide interventions and report findings to school staff for continuous improvement.</t>
    </r>
  </si>
  <si>
    <r>
      <t xml:space="preserve">Year 3: School Librarian (.5 FTE) </t>
    </r>
    <r>
      <rPr>
        <sz val="11"/>
        <rFont val="Arial"/>
      </rPr>
      <t>School needs additional time for School Librarian to implement school wide literacy programs, such as Accelerated Reader. Carryover funds will be used to provide a half-time librarian.</t>
    </r>
  </si>
  <si>
    <r>
      <t xml:space="preserve">E1 Clerical </t>
    </r>
    <r>
      <rPr>
        <strike/>
        <sz val="11"/>
        <rFont val="Arial"/>
      </rPr>
      <t xml:space="preserve">relief/ </t>
    </r>
    <r>
      <rPr>
        <sz val="11"/>
        <rFont val="Arial"/>
      </rPr>
      <t xml:space="preserve">overtime to support after-school and Saturday sessions and process all aspects of documenting and reporting program activities. </t>
    </r>
    <r>
      <rPr>
        <strike/>
        <sz val="11"/>
        <rFont val="Arial"/>
      </rPr>
      <t>Employee Benefits = $600</t>
    </r>
    <r>
      <rPr>
        <sz val="11"/>
        <rFont val="Arial"/>
      </rPr>
      <t>.
Years 2-3: Carryover funds will be used to provide additional clerical relief to support for increased staff collaboration time.</t>
    </r>
  </si>
  <si>
    <r>
      <t>E1 Custodial overtime for to support after-school, Summer, and Saturday sessions.</t>
    </r>
    <r>
      <rPr>
        <strike/>
        <sz val="11"/>
        <rFont val="Arial"/>
      </rPr>
      <t xml:space="preserve">   $650. in benefits</t>
    </r>
    <r>
      <rPr>
        <sz val="11"/>
        <rFont val="Arial"/>
      </rPr>
      <t>. 
Years 2-3: Carryover funds will be used to provide additional overtime for custodial support for increased staff collaboration time.</t>
    </r>
  </si>
  <si>
    <t>Saturday Intervention and Enrichment</t>
  </si>
  <si>
    <r>
      <rPr>
        <strike/>
        <sz val="11"/>
        <rFont val="Arial"/>
      </rPr>
      <t>Intervention Teacher</t>
    </r>
    <r>
      <rPr>
        <sz val="11"/>
        <rFont val="Arial"/>
      </rPr>
      <t xml:space="preserve">
RTI</t>
    </r>
    <r>
      <rPr>
        <vertAlign val="superscript"/>
        <sz val="11"/>
        <rFont val="Arial"/>
      </rPr>
      <t>2</t>
    </r>
    <r>
      <rPr>
        <sz val="11"/>
        <rFont val="Arial"/>
      </rPr>
      <t xml:space="preserve"> Intervention Coordinator</t>
    </r>
  </si>
  <si>
    <r>
      <t xml:space="preserve">B1 Year 1: Materials and equipment to implement hands-on and electronic-based activities integrated with reading and writing apprenticeship to deepen conceptual knowledge, particularly in math and science, and other web-based instructional programs 
Years </t>
    </r>
    <r>
      <rPr>
        <strike/>
        <sz val="11"/>
        <rFont val="Arial"/>
      </rPr>
      <t>2</t>
    </r>
    <r>
      <rPr>
        <sz val="11"/>
        <rFont val="Arial"/>
      </rPr>
      <t>-3: General supplies and equipment will be required to support the enrichment and intervention courses.
Carryover funds will be used to purchase additional general supplies to support enrichment and intervention courses.</t>
    </r>
  </si>
  <si>
    <r>
      <t>Year 2-3:</t>
    </r>
    <r>
      <rPr>
        <sz val="11"/>
        <rFont val="Arial"/>
      </rPr>
      <t xml:space="preserve"> </t>
    </r>
    <r>
      <rPr>
        <b/>
        <sz val="11"/>
        <rFont val="Arial"/>
      </rPr>
      <t xml:space="preserve">Project-based Learning materials </t>
    </r>
    <r>
      <rPr>
        <sz val="11"/>
        <rFont val="Arial"/>
      </rPr>
      <t>School needs to purchase Project Lead the Way Engineering and Biomedical STEM lab</t>
    </r>
    <r>
      <rPr>
        <b/>
        <sz val="11"/>
        <rFont val="Arial"/>
      </rPr>
      <t xml:space="preserve"> </t>
    </r>
    <r>
      <rPr>
        <sz val="11"/>
        <rFont val="Arial"/>
      </rPr>
      <t>software,</t>
    </r>
    <r>
      <rPr>
        <b/>
        <sz val="11"/>
        <rFont val="Arial"/>
      </rPr>
      <t xml:space="preserve"> </t>
    </r>
    <r>
      <rPr>
        <sz val="11"/>
        <rFont val="Arial"/>
      </rPr>
      <t>equipment and supplies to support career pathway themed projects</t>
    </r>
  </si>
  <si>
    <r>
      <t xml:space="preserve">Computers and/or mobile electronic devices will be purchased to increase student access to technology and to support additional enrichment and intervention courses (30 computers @ $1,000). 
Years 2-3: Carryover funds will be used to purchase additional computers and/or mobile electronic devices to increase </t>
    </r>
    <r>
      <rPr>
        <strike/>
        <sz val="11"/>
        <rFont val="Arial"/>
      </rPr>
      <t>student access to technology.</t>
    </r>
    <r>
      <rPr>
        <sz val="11"/>
        <rFont val="Arial"/>
      </rPr>
      <t xml:space="preserve"> the integration of technology into the school's instructional program.</t>
    </r>
  </si>
  <si>
    <r>
      <t xml:space="preserve">Indirect Costs 
Yr 1: 3.70%, Yr 2: 3.34%, Yr 3: </t>
    </r>
    <r>
      <rPr>
        <strike/>
        <sz val="11"/>
        <rFont val="Arial"/>
      </rPr>
      <t>2.95%</t>
    </r>
    <r>
      <rPr>
        <sz val="11"/>
        <rFont val="Arial"/>
      </rPr>
      <t xml:space="preserve"> 5.19%</t>
    </r>
  </si>
  <si>
    <r>
      <t xml:space="preserve">Pre-School Year PD Institute </t>
    </r>
    <r>
      <rPr>
        <b/>
        <sz val="11"/>
        <rFont val="Arial"/>
      </rPr>
      <t xml:space="preserve">Year 2: 
Staff Collaboration (Certificated X-Time) 
</t>
    </r>
    <r>
      <rPr>
        <strike/>
        <sz val="11"/>
        <rFont val="Arial"/>
      </rPr>
      <t xml:space="preserve">The school will hold a five day school-wide PD Institute prior to the beginning of the school year </t>
    </r>
    <r>
      <rPr>
        <sz val="11"/>
        <rFont val="Arial"/>
      </rPr>
      <t xml:space="preserve">In order to ensure the successful implementation of school‘s instructional program, increased Certificated staff (Administrators, Coordinators, Coaches, Teachers)  x-time is needed to provide additional collaboration time for reflection, training, planning, and data analysis beyond the regular school day and school year.
Years 2-3: Carryover funds will be used to provide additional staff collaboration time for new school initiatives (Expanded access to Advanced Placement Courses, Linked Learning, Implementation of new teacher evaluation system, Culturally Responsive Pedagogy, and Common Core readiness) 
</t>
    </r>
    <r>
      <rPr>
        <strike/>
        <sz val="11"/>
        <rFont val="Arial"/>
      </rPr>
      <t>Y2-3: 75 Certificated Staff Members x 30 hours x $25/hour = $56,25</t>
    </r>
    <r>
      <rPr>
        <sz val="11"/>
        <rFont val="Arial"/>
      </rPr>
      <t>0</t>
    </r>
  </si>
  <si>
    <r>
      <t>Year 2</t>
    </r>
    <r>
      <rPr>
        <b/>
        <sz val="11"/>
        <color indexed="10"/>
        <rFont val="Arial"/>
        <family val="2"/>
      </rPr>
      <t>-3</t>
    </r>
    <r>
      <rPr>
        <b/>
        <sz val="11"/>
        <rFont val="Arial"/>
      </rPr>
      <t>:</t>
    </r>
    <r>
      <rPr>
        <sz val="11"/>
        <rFont val="Arial"/>
      </rPr>
      <t xml:space="preserve"> </t>
    </r>
    <r>
      <rPr>
        <b/>
        <sz val="11"/>
        <rFont val="Arial"/>
      </rPr>
      <t xml:space="preserve">School Nurse (.6 FTE) 
</t>
    </r>
    <r>
      <rPr>
        <sz val="11"/>
        <rFont val="Arial"/>
      </rPr>
      <t>School needs</t>
    </r>
    <r>
      <rPr>
        <b/>
        <sz val="11"/>
        <rFont val="Arial"/>
      </rPr>
      <t xml:space="preserve"> </t>
    </r>
    <r>
      <rPr>
        <sz val="11"/>
        <rFont val="Arial"/>
      </rPr>
      <t xml:space="preserve">to provide an additional three days of supplementary health service to students with limited access to private health care.
</t>
    </r>
    <r>
      <rPr>
        <i/>
        <sz val="11"/>
        <rFont val="Arial"/>
        <family val="2"/>
      </rPr>
      <t>Y2: late start</t>
    </r>
    <r>
      <rPr>
        <sz val="11"/>
        <rFont val="Arial"/>
      </rPr>
      <t xml:space="preserve">
</t>
    </r>
    <r>
      <rPr>
        <strike/>
        <sz val="11"/>
        <rFont val="Arial"/>
      </rPr>
      <t>Year 3: Carryover funds will be used to provide four additional days of supplementary health services.</t>
    </r>
  </si>
  <si>
    <r>
      <t>Years 2</t>
    </r>
    <r>
      <rPr>
        <b/>
        <sz val="11"/>
        <color indexed="8"/>
        <rFont val="Arial"/>
        <family val="2"/>
      </rPr>
      <t xml:space="preserve"> </t>
    </r>
    <r>
      <rPr>
        <b/>
        <sz val="11"/>
        <color indexed="8"/>
        <rFont val="Arial"/>
        <family val="2"/>
      </rPr>
      <t>-3</t>
    </r>
    <r>
      <rPr>
        <b/>
        <sz val="11"/>
        <color indexed="8"/>
        <rFont val="Arial"/>
        <family val="2"/>
      </rPr>
      <t xml:space="preserve">: Problem Solving/Data Coordinator (.5 FTE) 
</t>
    </r>
    <r>
      <rPr>
        <sz val="11"/>
        <color indexed="8"/>
        <rFont val="Arial"/>
        <family val="2"/>
      </rPr>
      <t>The school will need a half-time Data Coordinator to support and build teacher capacity in the use of school wide and district data resources to successfully implement its’ Response to Intervention and Instruction (RTI</t>
    </r>
    <r>
      <rPr>
        <vertAlign val="superscript"/>
        <sz val="11"/>
        <color indexed="8"/>
        <rFont val="Arial"/>
        <family val="2"/>
      </rPr>
      <t>2</t>
    </r>
    <r>
      <rPr>
        <sz val="11"/>
        <color indexed="8"/>
        <rFont val="Arial"/>
        <family val="2"/>
      </rPr>
      <t>) system. The Data Coordinator will manage the collection and dissemination of student outcome data, provide professional development on the use of web-based data analysis systems, and ensure the consistent use of data to inform classroom instruction and intervention.</t>
    </r>
  </si>
  <si>
    <r>
      <t>D1</t>
    </r>
    <r>
      <rPr>
        <sz val="11"/>
        <color indexed="8"/>
        <rFont val="Arial"/>
        <family val="2"/>
      </rPr>
      <t xml:space="preserve"> Year 1: </t>
    </r>
    <r>
      <rPr>
        <sz val="11"/>
        <color indexed="8"/>
        <rFont val="Arial"/>
        <family val="2"/>
      </rPr>
      <t xml:space="preserve">2 parent liaisons for 4 hours per day. </t>
    </r>
    <r>
      <rPr>
        <sz val="11"/>
        <color indexed="8"/>
        <rFont val="Arial"/>
        <family val="2"/>
      </rPr>
      <t>Years 2-3: 3</t>
    </r>
    <r>
      <rPr>
        <sz val="11"/>
        <color indexed="8"/>
        <rFont val="Arial"/>
        <family val="2"/>
      </rPr>
      <t xml:space="preserve"> parent liaisons for 4 hours per day </t>
    </r>
    <r>
      <rPr>
        <strike/>
        <sz val="11"/>
        <color indexed="8"/>
        <rFont val="Arial"/>
        <family val="2"/>
      </rPr>
      <t xml:space="preserve">One Employee Benefits = $2,179. </t>
    </r>
    <r>
      <rPr>
        <strike/>
        <sz val="11"/>
        <color indexed="8"/>
        <rFont val="Arial"/>
        <family val="2"/>
      </rPr>
      <t xml:space="preserve">$30,551 </t>
    </r>
    <r>
      <rPr>
        <strike/>
        <sz val="11"/>
        <color indexed="8"/>
        <rFont val="Arial"/>
        <family val="2"/>
      </rPr>
      <t>.</t>
    </r>
    <r>
      <rPr>
        <sz val="11"/>
        <color indexed="10"/>
        <rFont val="Arial"/>
        <family val="2"/>
      </rPr>
      <t xml:space="preserve"> Funds will also cover cost for two positions in FY 15-16 for three months ( July  - September).</t>
    </r>
  </si>
  <si>
    <t>Problem Solving Data Coordinator</t>
  </si>
  <si>
    <r>
      <t xml:space="preserve">A4 Year 1 only: Provide 2 teacher support persons who have demonstrated effective classroom management and pedagogy to have an additional period of out of the classroom to assist new and struggling teachers with classroom management. FY 2012-13 </t>
    </r>
    <r>
      <rPr>
        <strike/>
        <sz val="11"/>
        <rFont val="Arial"/>
      </rPr>
      <t>and FY 2014-12 there will be 4 support teachers.</t>
    </r>
    <r>
      <rPr>
        <sz val="11"/>
        <rFont val="Arial"/>
      </rPr>
      <t xml:space="preserve"> Employee Benefits= $9,120  year 1 </t>
    </r>
    <r>
      <rPr>
        <strike/>
        <sz val="11"/>
        <rFont val="Arial"/>
      </rPr>
      <t xml:space="preserve">and $18,240 year 2 and 3
</t>
    </r>
    <r>
      <rPr>
        <sz val="11"/>
        <rFont val="Arial"/>
      </rPr>
      <t xml:space="preserve">Year 3: Carry over funds will be used to provide a Restorative Justice Coordinator to develop and monitor alternatives to suspension for students who are at risk of failing, due to behavior concerns. The coordinator will also support teachers in developing effective classroom management based on our School wide Positive Behavior Support plan. </t>
    </r>
  </si>
  <si>
    <r>
      <t>Year 2:</t>
    </r>
    <r>
      <rPr>
        <sz val="11"/>
        <rFont val="Arial"/>
      </rPr>
      <t xml:space="preserve"> </t>
    </r>
    <r>
      <rPr>
        <b/>
        <sz val="11"/>
        <rFont val="Arial"/>
      </rPr>
      <t>Psychiatric Social Worker</t>
    </r>
    <r>
      <rPr>
        <sz val="11"/>
        <rFont val="Calibri"/>
        <family val="2"/>
      </rPr>
      <t xml:space="preserve"> </t>
    </r>
    <r>
      <rPr>
        <b/>
        <sz val="11"/>
        <rFont val="Arial"/>
      </rPr>
      <t xml:space="preserve">(.1FTE) 
</t>
    </r>
    <r>
      <rPr>
        <sz val="11"/>
        <rFont val="Arial"/>
      </rPr>
      <t xml:space="preserve">School needs to purchase a half-day PSW time to provide specialized services to identified students to remove emotional, behavioral, and family crisis barriers to learning.
</t>
    </r>
    <r>
      <rPr>
        <i/>
        <sz val="11"/>
        <rFont val="Arial"/>
        <family val="2"/>
      </rPr>
      <t>Y2: late start</t>
    </r>
    <r>
      <rPr>
        <sz val="11"/>
        <rFont val="Arial"/>
      </rPr>
      <t xml:space="preserve">
Year 3: (.5 FTE) Carryover funds will be used to purchase a half-time PSW. </t>
    </r>
  </si>
  <si>
    <r>
      <t xml:space="preserve">Summer Program- Z-Time 
</t>
    </r>
    <r>
      <rPr>
        <sz val="11"/>
        <color indexed="8"/>
        <rFont val="Arial"/>
        <family val="2"/>
      </rPr>
      <t xml:space="preserve">Clerical Support will be needed to support the    </t>
    </r>
    <r>
      <rPr>
        <strike/>
        <sz val="11"/>
        <color indexed="10"/>
        <rFont val="Arial"/>
      </rPr>
      <t>four</t>
    </r>
    <r>
      <rPr>
        <sz val="11"/>
        <color indexed="10"/>
        <rFont val="Arial"/>
        <family val="2"/>
      </rPr>
      <t xml:space="preserve"> five</t>
    </r>
    <r>
      <rPr>
        <sz val="11"/>
        <color indexed="8"/>
        <rFont val="Arial"/>
        <family val="2"/>
      </rPr>
      <t xml:space="preserve"> week summer enrichment and intervention program for 300 incoming 9</t>
    </r>
    <r>
      <rPr>
        <vertAlign val="superscript"/>
        <sz val="11"/>
        <color indexed="8"/>
        <rFont val="Arial"/>
        <family val="2"/>
      </rPr>
      <t>th</t>
    </r>
    <r>
      <rPr>
        <sz val="11"/>
        <color indexed="8"/>
        <rFont val="Arial"/>
        <family val="2"/>
      </rPr>
      <t xml:space="preserve"> grade and current students. The program will provide core academic intervention, credit recovery, and enrichment. Y2-3: Clerical Support (2 SAA/Office Tech x  </t>
    </r>
    <r>
      <rPr>
        <strike/>
        <sz val="11"/>
        <color indexed="10"/>
        <rFont val="Arial"/>
      </rPr>
      <t>60</t>
    </r>
    <r>
      <rPr>
        <sz val="11"/>
        <color indexed="10"/>
        <rFont val="Arial"/>
        <family val="2"/>
      </rPr>
      <t xml:space="preserve"> 125 hours </t>
    </r>
    <r>
      <rPr>
        <sz val="11"/>
        <color indexed="8"/>
        <rFont val="Arial"/>
        <family val="2"/>
      </rPr>
      <t xml:space="preserve">x$25/hr = </t>
    </r>
    <r>
      <rPr>
        <sz val="11"/>
        <color indexed="10"/>
        <rFont val="Arial"/>
        <family val="2"/>
      </rPr>
      <t>$6250</t>
    </r>
    <r>
      <rPr>
        <sz val="11"/>
        <color indexed="8"/>
        <rFont val="Arial"/>
        <family val="2"/>
      </rPr>
      <t>)</t>
    </r>
  </si>
  <si>
    <r>
      <t xml:space="preserve">B2 Year 1: </t>
    </r>
    <r>
      <rPr>
        <sz val="11"/>
        <color indexed="8"/>
        <rFont val="Arial"/>
        <family val="2"/>
      </rPr>
      <t xml:space="preserve">Purchase instructional equipment and materials, i.e., musical instruments, stage set building materials for theater production activities both in-school and beyond the school day. 
Years 2-3: Purchase audiovisual equipment, musical instruments, </t>
    </r>
    <r>
      <rPr>
        <strike/>
        <sz val="11"/>
        <color indexed="8"/>
        <rFont val="Arial"/>
        <family val="2"/>
      </rPr>
      <t>art supplies and stage set building materials</t>
    </r>
    <r>
      <rPr>
        <sz val="11"/>
        <color indexed="8"/>
        <rFont val="Arial"/>
        <family val="2"/>
      </rPr>
      <t xml:space="preserve"> </t>
    </r>
    <r>
      <rPr>
        <sz val="11"/>
        <color indexed="10"/>
        <rFont val="Arial"/>
        <family val="2"/>
      </rPr>
      <t>and visual/performing arts materials and supplies for set design, dance,and theatre</t>
    </r>
    <r>
      <rPr>
        <sz val="11"/>
        <color indexed="8"/>
        <rFont val="Arial"/>
        <family val="2"/>
      </rPr>
      <t xml:space="preserve">  for performing arts activities for both in-school and beyond the school day. </t>
    </r>
    <r>
      <rPr>
        <sz val="11"/>
        <color indexed="10"/>
        <rFont val="Arial"/>
        <family val="2"/>
      </rPr>
      <t>(Audio-Visual Equipment ($5,000) Musical Instruments ($7,000); Visual &amp; Performing Arts Supplies&amp; Equipment ($12,602)</t>
    </r>
  </si>
  <si>
    <r>
      <t xml:space="preserve">Extended Learning Time 
</t>
    </r>
    <r>
      <rPr>
        <sz val="11"/>
        <color indexed="8"/>
        <rFont val="Arial"/>
        <family val="2"/>
      </rPr>
      <t xml:space="preserve">C1 </t>
    </r>
    <r>
      <rPr>
        <b/>
        <sz val="11"/>
        <color indexed="8"/>
        <rFont val="Arial"/>
        <family val="2"/>
      </rPr>
      <t xml:space="preserve">Year 1: </t>
    </r>
    <r>
      <rPr>
        <sz val="11"/>
        <color indexed="8"/>
        <rFont val="Arial"/>
        <family val="2"/>
      </rPr>
      <t xml:space="preserve">School will provide extended learning time for all students by creating a 40 minute advisory period four days a week The advisory period will be created by adding 20 minutes to the instructional day and reducing all blocked periods to 90 minutes. </t>
    </r>
    <r>
      <rPr>
        <strike/>
        <sz val="11"/>
        <color indexed="8"/>
        <rFont val="Arial"/>
        <family val="2"/>
      </rPr>
      <t xml:space="preserve">45 teachers and 4 administrators. Rate is according to district calculations. Employee Benefits = $50,932.
</t>
    </r>
    <r>
      <rPr>
        <sz val="11"/>
        <color indexed="8"/>
        <rFont val="Arial"/>
        <family val="2"/>
      </rPr>
      <t>*School extended instructional time but did not implement advisory perio</t>
    </r>
    <r>
      <rPr>
        <strike/>
        <sz val="11"/>
        <color indexed="8"/>
        <rFont val="Arial"/>
        <family val="2"/>
      </rPr>
      <t xml:space="preserve">d
</t>
    </r>
    <r>
      <rPr>
        <b/>
        <sz val="11"/>
        <color indexed="8"/>
        <rFont val="Arial"/>
        <family val="2"/>
      </rPr>
      <t>Year 2-3</t>
    </r>
    <r>
      <rPr>
        <sz val="11"/>
        <color indexed="8"/>
        <rFont val="Arial"/>
        <family val="2"/>
      </rPr>
      <t xml:space="preserve">: School will continue to provide extended learning time for all students by adding 20 minutes to the instructional day including an Advisory.
</t>
    </r>
    <r>
      <rPr>
        <b/>
        <sz val="11"/>
        <color indexed="8"/>
        <rFont val="Arial"/>
        <family val="2"/>
      </rPr>
      <t>Years 2-3</t>
    </r>
    <r>
      <rPr>
        <sz val="11"/>
        <color indexed="8"/>
        <rFont val="Arial"/>
        <family val="2"/>
      </rPr>
      <t xml:space="preserve">: </t>
    </r>
    <r>
      <rPr>
        <strike/>
        <sz val="11"/>
        <color indexed="8"/>
        <rFont val="Arial"/>
        <family val="2"/>
      </rPr>
      <t>80</t>
    </r>
    <r>
      <rPr>
        <sz val="11"/>
        <color indexed="8"/>
        <rFont val="Arial"/>
        <family val="2"/>
      </rPr>
      <t xml:space="preserve"> </t>
    </r>
    <r>
      <rPr>
        <sz val="11"/>
        <color indexed="10"/>
        <rFont val="Arial"/>
        <family val="2"/>
      </rPr>
      <t>60</t>
    </r>
    <r>
      <rPr>
        <sz val="11"/>
        <color indexed="8"/>
        <rFont val="Arial"/>
        <family val="2"/>
      </rPr>
      <t xml:space="preserve"> Certificated personnel x 48hrs x $60/hr = </t>
    </r>
    <r>
      <rPr>
        <strike/>
        <sz val="11"/>
        <color indexed="8"/>
        <rFont val="Arial"/>
        <family val="2"/>
      </rPr>
      <t>$230,400</t>
    </r>
    <r>
      <rPr>
        <sz val="11"/>
        <color indexed="8"/>
        <rFont val="Arial"/>
        <family val="2"/>
      </rPr>
      <t xml:space="preserve"> </t>
    </r>
    <r>
      <rPr>
        <sz val="11"/>
        <color indexed="10"/>
        <rFont val="Arial"/>
        <family val="2"/>
      </rPr>
      <t>$172,800</t>
    </r>
  </si>
  <si>
    <r>
      <t xml:space="preserve">Year 1 only: </t>
    </r>
    <r>
      <rPr>
        <b/>
        <sz val="10"/>
        <rFont val="Arial"/>
        <family val="2"/>
      </rPr>
      <t xml:space="preserve">Instructional Specialist 
</t>
    </r>
    <r>
      <rPr>
        <sz val="10"/>
        <rFont val="Arial"/>
      </rPr>
      <t xml:space="preserve">School will hire one full-time Instructional Specialist to oversee the implementation of the school’s instructional plan and supervise 4 instructional coaches as they  visit each core content teacher at least once a week for planning, providing feedback from classroom observations, and engaging teachers in reflections about their teaching practice. The Instructional Specialist will work directly with teachers who are struggling to assist students in meeting content standards on a daily basis. We will place special emphasis on ELA and Mathematics, as our previous year’s disaggregated CST data reflects low student achievement in both areas.
                                                                                                                </t>
    </r>
    <r>
      <rPr>
        <strike/>
        <sz val="10"/>
        <color indexed="10"/>
        <rFont val="Arial"/>
      </rPr>
      <t xml:space="preserve">Year 3: Carryover funds will be used to provide an Instructional Specialist to assist with the implementation of the school’s instructional program by working with Instructional Coaches, Coordinators, and teachers to implement each of the school’s improvement initiatives/programs (Teaching and Learning Framework, Linked Learning, Magnet plan, Core Waiver, Single Plan for Student Achievement, Springboard, and the Advanced Placement program) with fidelity. The Instructional Specialist will also facilitate training in Common Core Instruction, Data-based Instruction, and Technology Integration for all staff. 
</t>
    </r>
    <r>
      <rPr>
        <i/>
        <sz val="10"/>
        <color indexed="10"/>
        <rFont val="Arial"/>
        <family val="2"/>
      </rPr>
      <t>(was not able to hire a qualified individual)</t>
    </r>
  </si>
  <si>
    <t>FY 2014-15
Budget Changes
05/2015</t>
  </si>
  <si>
    <r>
      <t xml:space="preserve">Years 2-3: Purchase intervention programs, such as Revolution Prep, Achieve 3000, Accelerated Reader or Read 180, to provide additional support in Behavior </t>
    </r>
    <r>
      <rPr>
        <strike/>
        <sz val="11"/>
        <rFont val="Arial"/>
      </rPr>
      <t>Reading</t>
    </r>
    <r>
      <rPr>
        <sz val="11"/>
        <rFont val="Arial"/>
      </rPr>
      <t xml:space="preserve"> Literacy, and/or Mathematics. 
Carryover funds will be used to purchase additional student licenses for intervention programs </t>
    </r>
    <r>
      <rPr>
        <sz val="11"/>
        <color indexed="10"/>
        <rFont val="Arial"/>
        <family val="2"/>
      </rPr>
      <t>in FY 2015-2016</t>
    </r>
  </si>
  <si>
    <t>actual c/o</t>
  </si>
  <si>
    <r>
      <rPr>
        <b/>
        <sz val="11"/>
        <rFont val="Arial"/>
      </rPr>
      <t>Independent Contracts</t>
    </r>
    <r>
      <rPr>
        <sz val="11"/>
        <rFont val="Arial"/>
      </rPr>
      <t xml:space="preserve">
To provide additional enrichment experiences in the community and on the school campus, the school will contract with community organizations or professional experts to provide students with a variety of experiences with visual and performing arts, college awareness and preparation, career readiness, physical fitness, community gardening, and leadership development.
Carryover funds will be used to provide additional enrichment experiences for students. </t>
    </r>
    <r>
      <rPr>
        <sz val="11"/>
        <color indexed="10"/>
        <rFont val="Arial"/>
        <family val="2"/>
      </rPr>
      <t xml:space="preserve">School is currently considering contracts with Mother of Many - Food Science/Urban Gardening, Lula Washington's Dance Academy - Dance,  and College Bound - College Awareness/Preparation for  </t>
    </r>
    <r>
      <rPr>
        <sz val="11"/>
        <rFont val="Arial"/>
      </rPr>
      <t xml:space="preserve">
</t>
    </r>
    <r>
      <rPr>
        <sz val="11"/>
        <color indexed="10"/>
        <rFont val="Arial"/>
        <family val="2"/>
      </rPr>
      <t xml:space="preserve">FY 2015-16: </t>
    </r>
  </si>
  <si>
    <r>
      <t>Staff Conference Attendance</t>
    </r>
    <r>
      <rPr>
        <sz val="11"/>
        <color indexed="8"/>
        <rFont val="Arial"/>
        <family val="2"/>
      </rPr>
      <t xml:space="preserve">- </t>
    </r>
    <r>
      <rPr>
        <b/>
        <sz val="11"/>
        <color indexed="8"/>
        <rFont val="Arial"/>
        <family val="2"/>
      </rPr>
      <t xml:space="preserve">AVID 
</t>
    </r>
    <r>
      <rPr>
        <sz val="11"/>
        <color indexed="8"/>
        <rFont val="Arial"/>
        <family val="2"/>
      </rPr>
      <t>Each year certificated</t>
    </r>
    <r>
      <rPr>
        <b/>
        <sz val="11"/>
        <color indexed="8"/>
        <rFont val="Arial"/>
        <family val="2"/>
      </rPr>
      <t xml:space="preserve"> </t>
    </r>
    <r>
      <rPr>
        <sz val="11"/>
        <color indexed="8"/>
        <rFont val="Arial"/>
        <family val="2"/>
      </rPr>
      <t xml:space="preserve">staff members will attend the AVID Institute and/or workshops to prepare to teach the AVID elective and learn the avid strategies.
</t>
    </r>
    <r>
      <rPr>
        <sz val="11"/>
        <color indexed="10"/>
        <rFont val="Arial"/>
        <family val="2"/>
      </rPr>
      <t xml:space="preserve">FY 2015-16: </t>
    </r>
    <r>
      <rPr>
        <sz val="11"/>
        <color indexed="10"/>
        <rFont val="Arial"/>
        <family val="2"/>
      </rPr>
      <t>8</t>
    </r>
    <r>
      <rPr>
        <sz val="11"/>
        <color indexed="10"/>
        <rFont val="Arial"/>
        <family val="2"/>
      </rPr>
      <t xml:space="preserve"> teachers x </t>
    </r>
    <r>
      <rPr>
        <sz val="11"/>
        <color indexed="10"/>
        <rFont val="Arial"/>
        <family val="2"/>
      </rPr>
      <t>$1300</t>
    </r>
    <r>
      <rPr>
        <sz val="11"/>
        <color indexed="10"/>
        <rFont val="Arial"/>
        <family val="2"/>
      </rPr>
      <t xml:space="preserve"> = $</t>
    </r>
    <r>
      <rPr>
        <sz val="11"/>
        <color indexed="10"/>
        <rFont val="Arial"/>
        <family val="2"/>
      </rPr>
      <t>10,400</t>
    </r>
  </si>
  <si>
    <r>
      <t xml:space="preserve">Staff Conference Attendance- College Board 
</t>
    </r>
    <r>
      <rPr>
        <sz val="11"/>
        <color indexed="8"/>
        <rFont val="Arial"/>
        <family val="2"/>
      </rPr>
      <t>Each year, certificated staff members will attend</t>
    </r>
    <r>
      <rPr>
        <sz val="11.5"/>
        <color indexed="8"/>
        <rFont val="Arial"/>
        <family val="2"/>
      </rPr>
      <t xml:space="preserve"> </t>
    </r>
    <r>
      <rPr>
        <sz val="11"/>
        <color indexed="8"/>
        <rFont val="Arial"/>
        <family val="2"/>
      </rPr>
      <t xml:space="preserve">College Board Conferences, Advanced Placement Institutes and/or Workshops to prepare to teach Springboard, Pre-AP or AP courses. 
</t>
    </r>
    <r>
      <rPr>
        <sz val="11"/>
        <color indexed="8"/>
        <rFont val="Arial"/>
        <family val="2"/>
      </rPr>
      <t xml:space="preserve">Carryover funds will be used to increase the number of teachers who participate in the College Board training.
</t>
    </r>
    <r>
      <rPr>
        <sz val="11"/>
        <color indexed="10"/>
        <rFont val="Arial"/>
        <family val="2"/>
      </rPr>
      <t>FY 2015-16:</t>
    </r>
    <r>
      <rPr>
        <sz val="11"/>
        <color indexed="10"/>
        <rFont val="Arial"/>
        <family val="2"/>
      </rPr>
      <t xml:space="preserve"> 28</t>
    </r>
    <r>
      <rPr>
        <sz val="11"/>
        <color indexed="10"/>
        <rFont val="Arial"/>
        <family val="2"/>
      </rPr>
      <t xml:space="preserve"> teachers x </t>
    </r>
    <r>
      <rPr>
        <sz val="11"/>
        <color indexed="10"/>
        <rFont val="Arial"/>
        <family val="2"/>
      </rPr>
      <t>$1200</t>
    </r>
    <r>
      <rPr>
        <sz val="11"/>
        <color indexed="10"/>
        <rFont val="Arial"/>
        <family val="2"/>
      </rPr>
      <t xml:space="preserve"> = $</t>
    </r>
    <r>
      <rPr>
        <sz val="11"/>
        <color indexed="10"/>
        <rFont val="Arial"/>
        <family val="2"/>
      </rPr>
      <t>33,600</t>
    </r>
  </si>
  <si>
    <r>
      <t xml:space="preserve">Supplementary instructional materials and books </t>
    </r>
    <r>
      <rPr>
        <sz val="11"/>
        <color indexed="8"/>
        <rFont val="Arial"/>
        <family val="2"/>
      </rPr>
      <t xml:space="preserve">will be required </t>
    </r>
    <r>
      <rPr>
        <sz val="11"/>
        <color indexed="8"/>
        <rFont val="Arial"/>
        <family val="2"/>
      </rPr>
      <t>to support the enrichment (College Preparation, Leadership, etc.) and intervention (Reading and Math Intervention, CAHSEE, etc.) courses. 
Years 2-3: Carryover funds will be used to purchase additional supplementary materials for enrichment and intervention.</t>
    </r>
    <r>
      <rPr>
        <sz val="11"/>
        <color indexed="8"/>
        <rFont val="Arial"/>
        <family val="2"/>
      </rPr>
      <t xml:space="preserve"> </t>
    </r>
    <r>
      <rPr>
        <sz val="11"/>
        <color indexed="10"/>
        <rFont val="Arial"/>
        <family val="2"/>
      </rPr>
      <t xml:space="preserve">School will be purchasing student editions of the College Board's Spring Board ELA &amp; </t>
    </r>
    <r>
      <rPr>
        <sz val="11"/>
        <color indexed="10"/>
        <rFont val="Arial"/>
        <family val="2"/>
      </rPr>
      <t xml:space="preserve">Pre-Calculus </t>
    </r>
    <r>
      <rPr>
        <sz val="11"/>
        <color indexed="10"/>
        <rFont val="Arial"/>
        <family val="2"/>
      </rPr>
      <t>Math Cuuriculum,  supplemental textbooks for Advance Placement Courses, and supplemental novels to support SpringBoard curriculum.</t>
    </r>
  </si>
  <si>
    <r>
      <t xml:space="preserve">Years 2: Summer Program 
</t>
    </r>
    <r>
      <rPr>
        <sz val="11"/>
        <rFont val="Arial"/>
      </rPr>
      <t>School will provide a four week summer enrichment and intervention program for 300 incoming 9</t>
    </r>
    <r>
      <rPr>
        <vertAlign val="superscript"/>
        <sz val="11"/>
        <rFont val="Arial"/>
      </rPr>
      <t>th</t>
    </r>
    <r>
      <rPr>
        <sz val="11"/>
        <rFont val="Arial"/>
      </rPr>
      <t xml:space="preserve"> grade and current students. The program will provide core academic intervention, credit recovery, and enrichment. Y2: Teachers (1</t>
    </r>
    <r>
      <rPr>
        <sz val="11"/>
        <rFont val="Arial"/>
      </rPr>
      <t>2</t>
    </r>
    <r>
      <rPr>
        <sz val="11"/>
        <rFont val="Arial"/>
      </rPr>
      <t xml:space="preserve"> teachers x  60 hours x$60/hr = $50,400); Counselor (1 Counselor x 60 hours x $60/hr = $3,600); Administrator (1 Administrator x 80 hours x $60 hour = $4,800)
Year 3: </t>
    </r>
    <r>
      <rPr>
        <sz val="11"/>
        <rFont val="Arial"/>
      </rPr>
      <t xml:space="preserve">Year 3: School will provide a Five-week enrichment and intervention program. </t>
    </r>
    <r>
      <rPr>
        <sz val="11"/>
        <rFont val="Arial"/>
      </rPr>
      <t xml:space="preserve">Teachers ( Up to 12 teachers  </t>
    </r>
    <r>
      <rPr>
        <strike/>
        <sz val="11"/>
        <rFont val="Arial"/>
      </rPr>
      <t>60</t>
    </r>
    <r>
      <rPr>
        <sz val="11"/>
        <rFont val="Arial"/>
      </rPr>
      <t xml:space="preserve"> </t>
    </r>
    <r>
      <rPr>
        <sz val="11"/>
        <color indexed="10"/>
        <rFont val="Arial"/>
        <family val="2"/>
      </rPr>
      <t>940 hours</t>
    </r>
    <r>
      <rPr>
        <sz val="11"/>
        <rFont val="Arial"/>
      </rPr>
      <t xml:space="preserve"> x$60/hr = </t>
    </r>
    <r>
      <rPr>
        <strike/>
        <sz val="11"/>
        <rFont val="Arial"/>
      </rPr>
      <t>$43,200</t>
    </r>
    <r>
      <rPr>
        <sz val="11"/>
        <rFont val="Arial"/>
      </rPr>
      <t xml:space="preserve">  </t>
    </r>
    <r>
      <rPr>
        <sz val="11"/>
        <color indexed="10"/>
        <rFont val="Arial"/>
        <family val="2"/>
      </rPr>
      <t>$57,300</t>
    </r>
    <r>
      <rPr>
        <sz val="11"/>
        <rFont val="Arial"/>
      </rPr>
      <t xml:space="preserve">); APEX/Technology Coordinator (1 Coordinator </t>
    </r>
    <r>
      <rPr>
        <strike/>
        <sz val="11"/>
        <rFont val="Arial"/>
      </rPr>
      <t xml:space="preserve"> 60</t>
    </r>
    <r>
      <rPr>
        <sz val="11"/>
        <rFont val="Arial"/>
      </rPr>
      <t xml:space="preserve"> </t>
    </r>
    <r>
      <rPr>
        <sz val="11"/>
        <color indexed="10"/>
        <rFont val="Arial"/>
        <family val="2"/>
      </rPr>
      <t xml:space="preserve">150 </t>
    </r>
    <r>
      <rPr>
        <sz val="11"/>
        <rFont val="Arial"/>
      </rPr>
      <t xml:space="preserve">hours x $60 hour = </t>
    </r>
    <r>
      <rPr>
        <strike/>
        <sz val="11"/>
        <rFont val="Arial"/>
      </rPr>
      <t>$3,600</t>
    </r>
    <r>
      <rPr>
        <sz val="11"/>
        <rFont val="Arial"/>
      </rPr>
      <t xml:space="preserve"> </t>
    </r>
    <r>
      <rPr>
        <sz val="11"/>
        <color indexed="10"/>
        <rFont val="Arial"/>
        <family val="2"/>
      </rPr>
      <t>$9,000</t>
    </r>
    <r>
      <rPr>
        <sz val="11"/>
        <rFont val="Arial"/>
      </rPr>
      <t xml:space="preserve">); Dean (1 Dean </t>
    </r>
    <r>
      <rPr>
        <strike/>
        <sz val="11"/>
        <rFont val="Arial"/>
      </rPr>
      <t xml:space="preserve"> 60</t>
    </r>
    <r>
      <rPr>
        <sz val="11"/>
        <rFont val="Arial"/>
      </rPr>
      <t xml:space="preserve"> </t>
    </r>
    <r>
      <rPr>
        <sz val="11"/>
        <color indexed="10"/>
        <rFont val="Arial"/>
        <family val="2"/>
      </rPr>
      <t>150</t>
    </r>
    <r>
      <rPr>
        <sz val="11"/>
        <rFont val="Arial"/>
      </rPr>
      <t xml:space="preserve"> hours x $60 hour = </t>
    </r>
    <r>
      <rPr>
        <strike/>
        <sz val="11"/>
        <rFont val="Arial"/>
      </rPr>
      <t>$3,600</t>
    </r>
    <r>
      <rPr>
        <sz val="11"/>
        <rFont val="Arial"/>
      </rPr>
      <t xml:space="preserve"> </t>
    </r>
    <r>
      <rPr>
        <sz val="11"/>
        <color indexed="10"/>
        <rFont val="Arial"/>
        <family val="2"/>
      </rPr>
      <t>$9,000</t>
    </r>
    <r>
      <rPr>
        <sz val="11"/>
        <rFont val="Arial"/>
      </rPr>
      <t xml:space="preserve">) Counselor (1 Counselor </t>
    </r>
    <r>
      <rPr>
        <strike/>
        <sz val="11"/>
        <rFont val="Arial"/>
      </rPr>
      <t xml:space="preserve"> 60</t>
    </r>
    <r>
      <rPr>
        <sz val="11"/>
        <rFont val="Arial"/>
      </rPr>
      <t xml:space="preserve"> </t>
    </r>
    <r>
      <rPr>
        <sz val="11"/>
        <color indexed="10"/>
        <rFont val="Arial"/>
        <family val="2"/>
      </rPr>
      <t>150</t>
    </r>
    <r>
      <rPr>
        <sz val="11"/>
        <rFont val="Arial"/>
      </rPr>
      <t xml:space="preserve"> hours x $60 hour = </t>
    </r>
    <r>
      <rPr>
        <strike/>
        <sz val="11"/>
        <rFont val="Arial"/>
      </rPr>
      <t>$3,600</t>
    </r>
    <r>
      <rPr>
        <sz val="11"/>
        <rFont val="Arial"/>
      </rPr>
      <t xml:space="preserve"> </t>
    </r>
    <r>
      <rPr>
        <sz val="11"/>
        <color indexed="10"/>
        <rFont val="Arial"/>
        <family val="2"/>
      </rPr>
      <t>$9,000</t>
    </r>
    <r>
      <rPr>
        <sz val="11"/>
        <rFont val="Arial"/>
      </rPr>
      <t xml:space="preserve">); Administrator (1 Administrator  </t>
    </r>
    <r>
      <rPr>
        <strike/>
        <sz val="11"/>
        <rFont val="Arial"/>
      </rPr>
      <t>80</t>
    </r>
    <r>
      <rPr>
        <sz val="11"/>
        <rFont val="Arial"/>
      </rPr>
      <t xml:space="preserve"> </t>
    </r>
    <r>
      <rPr>
        <sz val="11"/>
        <color indexed="10"/>
        <rFont val="Arial"/>
        <family val="2"/>
      </rPr>
      <t>200</t>
    </r>
    <r>
      <rPr>
        <sz val="11"/>
        <rFont val="Arial"/>
      </rPr>
      <t xml:space="preserve"> hours x $60 hour = </t>
    </r>
    <r>
      <rPr>
        <strike/>
        <sz val="11"/>
        <rFont val="Arial"/>
      </rPr>
      <t>$4,800</t>
    </r>
    <r>
      <rPr>
        <sz val="11"/>
        <rFont val="Arial"/>
      </rPr>
      <t xml:space="preserve"> $</t>
    </r>
    <r>
      <rPr>
        <sz val="11"/>
        <color indexed="10"/>
        <rFont val="Arial"/>
        <family val="2"/>
      </rPr>
      <t>12,000</t>
    </r>
    <r>
      <rPr>
        <sz val="11"/>
        <rFont val="Arial"/>
      </rPr>
      <t xml:space="preserve">) = </t>
    </r>
    <r>
      <rPr>
        <strike/>
        <sz val="11"/>
        <rFont val="Arial"/>
      </rPr>
      <t>$58,800</t>
    </r>
    <r>
      <rPr>
        <sz val="11"/>
        <rFont val="Arial"/>
      </rPr>
      <t xml:space="preserve"> </t>
    </r>
    <r>
      <rPr>
        <sz val="11"/>
        <color indexed="10"/>
        <rFont val="Arial"/>
        <family val="2"/>
      </rPr>
      <t>$96,300</t>
    </r>
  </si>
  <si>
    <r>
      <t xml:space="preserve">School needs two School Supervision aides to ensure campus safety during enrichment/intervention activities (3.75 hours a day).
Year 3: Carryover funds will be used to add additional SSAs for increased enrichment and intervention activities. </t>
    </r>
    <r>
      <rPr>
        <sz val="11"/>
        <color indexed="10"/>
        <rFont val="Arial"/>
        <family val="2"/>
      </rPr>
      <t xml:space="preserve">Funds will also cover cost for two positions in FY 15-16 for </t>
    </r>
    <r>
      <rPr>
        <sz val="11"/>
        <color indexed="10"/>
        <rFont val="Arial"/>
        <family val="2"/>
      </rPr>
      <t>60</t>
    </r>
    <r>
      <rPr>
        <sz val="11"/>
        <color indexed="10"/>
        <rFont val="Arial"/>
        <family val="2"/>
      </rPr>
      <t xml:space="preserve"> days          (</t>
    </r>
    <r>
      <rPr>
        <sz val="11"/>
        <color indexed="10"/>
        <rFont val="Arial"/>
        <family val="2"/>
      </rPr>
      <t>July</t>
    </r>
    <r>
      <rPr>
        <sz val="11"/>
        <color indexed="10"/>
        <rFont val="Arial"/>
        <family val="2"/>
      </rPr>
      <t xml:space="preserve">  - September).</t>
    </r>
  </si>
  <si>
    <r>
      <t>School needs two community representatives to serve as neighborhood resource advisers, assist in building positive school-community relations, and develop community partnerships to provide extended learning opportunities for students.
Year 3: Carryover funds will be used to provide additional time for Community Representatives.</t>
    </r>
    <r>
      <rPr>
        <sz val="11"/>
        <color indexed="10"/>
        <rFont val="Arial"/>
        <family val="2"/>
      </rPr>
      <t xml:space="preserve"> Funds will also cover cost for two positions in FY 15-16 for </t>
    </r>
    <r>
      <rPr>
        <sz val="11"/>
        <color indexed="10"/>
        <rFont val="Arial"/>
        <family val="2"/>
      </rPr>
      <t>60</t>
    </r>
    <r>
      <rPr>
        <sz val="11"/>
        <color indexed="10"/>
        <rFont val="Arial"/>
        <family val="2"/>
      </rPr>
      <t xml:space="preserve"> days (</t>
    </r>
    <r>
      <rPr>
        <sz val="11"/>
        <color indexed="10"/>
        <rFont val="Arial"/>
        <family val="2"/>
      </rPr>
      <t>July</t>
    </r>
    <r>
      <rPr>
        <sz val="11"/>
        <color indexed="10"/>
        <rFont val="Arial"/>
        <family val="2"/>
      </rPr>
      <t xml:space="preserve">  - September).</t>
    </r>
  </si>
  <si>
    <r>
      <rPr>
        <b/>
        <sz val="11"/>
        <color indexed="8"/>
        <rFont val="Arial"/>
        <family val="2"/>
      </rPr>
      <t>Staff Conference Attendance-PLTW</t>
    </r>
    <r>
      <rPr>
        <sz val="11"/>
        <color indexed="8"/>
        <rFont val="Arial"/>
        <family val="2"/>
      </rPr>
      <t xml:space="preserve">
Each year, teachers will attend the Project Lead the Way Course training. 
Carryover funds will be used to increase the number of teachers who participate in the PLTW training.
</t>
    </r>
    <r>
      <rPr>
        <sz val="11"/>
        <color indexed="10"/>
        <rFont val="Arial"/>
        <family val="2"/>
      </rPr>
      <t xml:space="preserve">FY 2015-16: </t>
    </r>
    <r>
      <rPr>
        <sz val="11"/>
        <color indexed="10"/>
        <rFont val="Arial"/>
        <family val="2"/>
      </rPr>
      <t>2</t>
    </r>
    <r>
      <rPr>
        <sz val="11"/>
        <color indexed="10"/>
        <rFont val="Arial"/>
        <family val="2"/>
      </rPr>
      <t xml:space="preserve"> of teachers x </t>
    </r>
    <r>
      <rPr>
        <sz val="11"/>
        <color indexed="10"/>
        <rFont val="Arial"/>
        <family val="2"/>
      </rPr>
      <t>$5000</t>
    </r>
    <r>
      <rPr>
        <sz val="11"/>
        <color indexed="10"/>
        <rFont val="Arial"/>
        <family val="2"/>
      </rPr>
      <t xml:space="preserve"> = $</t>
    </r>
    <r>
      <rPr>
        <sz val="11"/>
        <color indexed="10"/>
        <rFont val="Arial"/>
        <family val="2"/>
      </rPr>
      <t>10,000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</si>
</sst>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40" x14ac:knownFonts="1">
    <font>
      <sz val="10"/>
      <color theme="1"/>
      <name val="Consolas"/>
      <family val="2"/>
    </font>
    <font>
      <sz val="11"/>
      <color indexed="8"/>
      <name val="Arial"/>
      <family val="2"/>
    </font>
    <font>
      <strike/>
      <sz val="11"/>
      <color indexed="8"/>
      <name val="Arial"/>
      <family val="2"/>
    </font>
    <font>
      <b/>
      <sz val="11"/>
      <color indexed="8"/>
      <name val="Arial"/>
      <family val="2"/>
    </font>
    <font>
      <sz val="12"/>
      <color indexed="8"/>
      <name val="Calibri"/>
      <family val="2"/>
    </font>
    <font>
      <vertAlign val="superscript"/>
      <sz val="11"/>
      <color indexed="8"/>
      <name val="Arial"/>
      <family val="2"/>
    </font>
    <font>
      <strike/>
      <vertAlign val="superscript"/>
      <sz val="11"/>
      <color indexed="8"/>
      <name val="Arial"/>
      <family val="2"/>
    </font>
    <font>
      <sz val="11.5"/>
      <color indexed="8"/>
      <name val="Arial"/>
      <family val="2"/>
    </font>
    <font>
      <sz val="11"/>
      <name val="Arial"/>
    </font>
    <font>
      <strike/>
      <sz val="11"/>
      <name val="Arial"/>
    </font>
    <font>
      <b/>
      <sz val="11"/>
      <name val="Arial"/>
    </font>
    <font>
      <b/>
      <strike/>
      <sz val="11"/>
      <name val="Arial"/>
      <family val="2"/>
    </font>
    <font>
      <b/>
      <vertAlign val="superscript"/>
      <sz val="11"/>
      <name val="Arial"/>
    </font>
    <font>
      <vertAlign val="superscript"/>
      <sz val="11"/>
      <name val="Arial"/>
    </font>
    <font>
      <i/>
      <sz val="11"/>
      <name val="Arial"/>
      <family val="2"/>
    </font>
    <font>
      <sz val="11"/>
      <name val="Calibri"/>
      <family val="2"/>
    </font>
    <font>
      <b/>
      <sz val="11"/>
      <color indexed="10"/>
      <name val="Arial"/>
      <family val="2"/>
    </font>
    <font>
      <sz val="11"/>
      <color indexed="10"/>
      <name val="Arial"/>
      <family val="2"/>
    </font>
    <font>
      <sz val="10"/>
      <name val="Arial"/>
    </font>
    <font>
      <b/>
      <sz val="10"/>
      <name val="Arial"/>
      <family val="2"/>
    </font>
    <font>
      <strike/>
      <sz val="11"/>
      <color indexed="10"/>
      <name val="Arial"/>
    </font>
    <font>
      <strike/>
      <sz val="10"/>
      <color indexed="10"/>
      <name val="Arial"/>
    </font>
    <font>
      <sz val="10"/>
      <name val="Arial"/>
    </font>
    <font>
      <i/>
      <sz val="10"/>
      <color indexed="10"/>
      <name val="Arial"/>
      <family val="2"/>
    </font>
    <font>
      <sz val="10"/>
      <color theme="1"/>
      <name val="Consolas"/>
      <family val="2"/>
    </font>
    <font>
      <b/>
      <sz val="10"/>
      <color theme="0"/>
      <name val="Consolas"/>
      <family val="2"/>
    </font>
    <font>
      <sz val="10"/>
      <color theme="1"/>
      <name val="Arial"/>
      <family val="2"/>
    </font>
    <font>
      <b/>
      <sz val="12"/>
      <color theme="1"/>
      <name val="Arial"/>
      <family val="2"/>
    </font>
    <font>
      <sz val="8"/>
      <color theme="1"/>
      <name val="Arial"/>
      <family val="2"/>
    </font>
    <font>
      <sz val="10"/>
      <color rgb="FF000000"/>
      <name val="Arial"/>
      <family val="2"/>
    </font>
    <font>
      <sz val="9"/>
      <color theme="1"/>
      <name val="Arial"/>
      <family val="2"/>
    </font>
    <font>
      <b/>
      <sz val="10"/>
      <color theme="1"/>
      <name val="Arial"/>
      <family val="2"/>
    </font>
    <font>
      <sz val="11"/>
      <color theme="1"/>
      <name val="Arial"/>
      <family val="2"/>
    </font>
    <font>
      <b/>
      <sz val="11"/>
      <color theme="1"/>
      <name val="Arial"/>
      <family val="2"/>
    </font>
    <font>
      <sz val="11"/>
      <color theme="1"/>
      <name val="Consolas"/>
      <family val="2"/>
    </font>
    <font>
      <strike/>
      <sz val="10"/>
      <color theme="1"/>
      <name val="Arial"/>
      <family val="2"/>
    </font>
    <font>
      <b/>
      <sz val="11"/>
      <color rgb="FF000000"/>
      <name val="Arial"/>
      <family val="2"/>
    </font>
    <font>
      <sz val="11"/>
      <color rgb="FF000000"/>
      <name val="Arial"/>
      <family val="2"/>
    </font>
    <font>
      <strike/>
      <sz val="11"/>
      <color theme="1"/>
      <name val="Arial"/>
      <family val="2"/>
    </font>
    <font>
      <b/>
      <strike/>
      <sz val="11"/>
      <color theme="1"/>
      <name val="Arial"/>
      <family val="2"/>
    </font>
  </fonts>
  <fills count="8">
    <fill>
      <patternFill patternType="none"/>
    </fill>
    <fill>
      <patternFill patternType="gray125"/>
    </fill>
    <fill>
      <patternFill patternType="solid">
        <fgColor rgb="FFA5A5A5"/>
      </patternFill>
    </fill>
    <fill>
      <patternFill patternType="solid">
        <fgColor rgb="FFFFFFCC"/>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25" fillId="2" borderId="44" applyNumberFormat="0" applyAlignment="0" applyProtection="0"/>
    <xf numFmtId="43" fontId="24" fillId="0" borderId="0" applyFont="0" applyFill="0" applyBorder="0" applyAlignment="0" applyProtection="0"/>
    <xf numFmtId="44" fontId="24" fillId="0" borderId="0" applyFont="0" applyFill="0" applyBorder="0" applyAlignment="0" applyProtection="0"/>
    <xf numFmtId="0" fontId="24" fillId="3" borderId="45" applyNumberFormat="0" applyFont="0" applyAlignment="0" applyProtection="0"/>
  </cellStyleXfs>
  <cellXfs count="191">
    <xf numFmtId="0" fontId="0" fillId="0" borderId="0" xfId="0"/>
    <xf numFmtId="0" fontId="26" fillId="0" borderId="0" xfId="0" applyFont="1"/>
    <xf numFmtId="0" fontId="27" fillId="0" borderId="0" xfId="0" applyFont="1" applyAlignment="1"/>
    <xf numFmtId="0" fontId="0" fillId="0" borderId="0" xfId="0" applyBorder="1"/>
    <xf numFmtId="0" fontId="28" fillId="0" borderId="0" xfId="0" applyFont="1" applyAlignment="1">
      <alignment horizontal="left" vertical="center"/>
    </xf>
    <xf numFmtId="14" fontId="28" fillId="0" borderId="0" xfId="0" applyNumberFormat="1" applyFont="1" applyAlignment="1">
      <alignment horizontal="left" vertical="center"/>
    </xf>
    <xf numFmtId="0" fontId="26" fillId="0" borderId="0" xfId="0" applyFont="1" applyAlignment="1">
      <alignment horizontal="left" vertical="center"/>
    </xf>
    <xf numFmtId="0" fontId="27" fillId="0" borderId="0" xfId="0" applyFont="1" applyFill="1" applyAlignment="1">
      <alignment horizontal="left" vertical="center"/>
    </xf>
    <xf numFmtId="0" fontId="0" fillId="0" borderId="0" xfId="0" applyAlignment="1">
      <alignment horizontal="left" vertical="center"/>
    </xf>
    <xf numFmtId="44" fontId="26" fillId="0" borderId="1" xfId="0" applyNumberFormat="1" applyFont="1" applyBorder="1" applyAlignment="1">
      <alignment horizontal="left" vertical="center" wrapText="1"/>
    </xf>
    <xf numFmtId="44" fontId="26" fillId="0" borderId="2" xfId="0" applyNumberFormat="1" applyFont="1" applyBorder="1" applyAlignment="1">
      <alignment horizontal="left" vertical="center" wrapText="1"/>
    </xf>
    <xf numFmtId="44" fontId="26" fillId="0" borderId="3" xfId="0" applyNumberFormat="1" applyFont="1" applyBorder="1" applyAlignment="1">
      <alignment horizontal="left" vertical="center" wrapText="1"/>
    </xf>
    <xf numFmtId="44" fontId="29" fillId="0" borderId="4" xfId="0" applyNumberFormat="1" applyFont="1" applyFill="1" applyBorder="1" applyAlignment="1">
      <alignment horizontal="left" vertical="center" wrapText="1"/>
    </xf>
    <xf numFmtId="44" fontId="30" fillId="0" borderId="4" xfId="0" applyNumberFormat="1" applyFont="1" applyBorder="1" applyAlignment="1">
      <alignment horizontal="left" vertical="center"/>
    </xf>
    <xf numFmtId="44" fontId="26" fillId="4" borderId="5" xfId="0" applyNumberFormat="1" applyFont="1" applyFill="1" applyBorder="1" applyAlignment="1">
      <alignment horizontal="left" vertical="center"/>
    </xf>
    <xf numFmtId="44" fontId="29" fillId="0" borderId="1" xfId="0" applyNumberFormat="1" applyFont="1" applyBorder="1" applyAlignment="1">
      <alignment horizontal="left" vertical="center" wrapText="1"/>
    </xf>
    <xf numFmtId="44" fontId="26" fillId="0" borderId="6" xfId="0" applyNumberFormat="1" applyFont="1" applyBorder="1" applyAlignment="1">
      <alignment horizontal="left" vertical="center" wrapText="1"/>
    </xf>
    <xf numFmtId="0" fontId="31" fillId="5" borderId="0" xfId="0" applyFont="1" applyFill="1" applyAlignment="1">
      <alignment vertical="center"/>
    </xf>
    <xf numFmtId="0" fontId="31" fillId="0" borderId="0" xfId="0" applyFont="1" applyFill="1" applyAlignment="1">
      <alignment vertical="center"/>
    </xf>
    <xf numFmtId="44" fontId="29" fillId="0" borderId="4" xfId="0" applyNumberFormat="1" applyFont="1" applyBorder="1" applyAlignment="1">
      <alignment horizontal="left" vertical="center" wrapText="1"/>
    </xf>
    <xf numFmtId="44" fontId="29" fillId="6" borderId="4" xfId="0" applyNumberFormat="1" applyFont="1" applyFill="1" applyBorder="1" applyAlignment="1">
      <alignment horizontal="left" vertical="center" wrapText="1"/>
    </xf>
    <xf numFmtId="44" fontId="26" fillId="6" borderId="1" xfId="0" applyNumberFormat="1" applyFont="1" applyFill="1" applyBorder="1" applyAlignment="1">
      <alignment horizontal="left" vertical="center" wrapText="1"/>
    </xf>
    <xf numFmtId="44" fontId="26" fillId="6" borderId="2" xfId="0" applyNumberFormat="1" applyFont="1" applyFill="1" applyBorder="1" applyAlignment="1">
      <alignment horizontal="left" vertical="center" wrapText="1"/>
    </xf>
    <xf numFmtId="44" fontId="26" fillId="6" borderId="3" xfId="0" applyNumberFormat="1" applyFont="1" applyFill="1" applyBorder="1" applyAlignment="1">
      <alignment horizontal="left" vertical="center" wrapText="1"/>
    </xf>
    <xf numFmtId="44" fontId="26" fillId="6" borderId="5" xfId="0" applyNumberFormat="1" applyFont="1" applyFill="1" applyBorder="1" applyAlignment="1">
      <alignment horizontal="left" vertical="center"/>
    </xf>
    <xf numFmtId="44" fontId="29" fillId="6" borderId="1" xfId="0" applyNumberFormat="1" applyFont="1" applyFill="1" applyBorder="1" applyAlignment="1">
      <alignment horizontal="left" vertical="center" wrapText="1"/>
    </xf>
    <xf numFmtId="44" fontId="26" fillId="6" borderId="6" xfId="0" applyNumberFormat="1" applyFont="1" applyFill="1" applyBorder="1" applyAlignment="1">
      <alignment horizontal="left" vertical="center" wrapText="1"/>
    </xf>
    <xf numFmtId="44" fontId="30" fillId="6" borderId="4" xfId="0" applyNumberFormat="1" applyFont="1" applyFill="1" applyBorder="1" applyAlignment="1">
      <alignment horizontal="left" vertical="center"/>
    </xf>
    <xf numFmtId="44" fontId="26" fillId="6" borderId="0" xfId="0" applyNumberFormat="1" applyFont="1" applyFill="1" applyBorder="1" applyAlignment="1">
      <alignment horizontal="left" vertical="center"/>
    </xf>
    <xf numFmtId="0" fontId="26" fillId="6" borderId="2" xfId="0" applyFont="1" applyFill="1" applyBorder="1" applyAlignment="1">
      <alignment horizontal="left" vertical="center" wrapText="1"/>
    </xf>
    <xf numFmtId="0" fontId="31" fillId="6" borderId="7" xfId="0" applyFont="1" applyFill="1" applyBorder="1" applyAlignment="1">
      <alignment horizontal="left" vertical="center" wrapText="1"/>
    </xf>
    <xf numFmtId="44" fontId="26" fillId="4" borderId="8" xfId="0" applyNumberFormat="1" applyFont="1" applyFill="1" applyBorder="1" applyAlignment="1">
      <alignment horizontal="left" vertical="center"/>
    </xf>
    <xf numFmtId="44" fontId="26" fillId="4" borderId="9" xfId="0" applyNumberFormat="1" applyFont="1" applyFill="1" applyBorder="1" applyAlignment="1">
      <alignment horizontal="left" vertical="center"/>
    </xf>
    <xf numFmtId="44" fontId="30" fillId="0" borderId="10" xfId="0" applyNumberFormat="1" applyFont="1" applyBorder="1" applyAlignment="1">
      <alignment horizontal="left" vertical="center"/>
    </xf>
    <xf numFmtId="44" fontId="29" fillId="0" borderId="1" xfId="0" applyNumberFormat="1" applyFont="1" applyFill="1" applyBorder="1" applyAlignment="1">
      <alignment horizontal="left" vertical="center" wrapText="1"/>
    </xf>
    <xf numFmtId="0" fontId="28" fillId="0" borderId="0" xfId="0" applyFont="1" applyAlignment="1">
      <alignment horizontal="left" wrapText="1"/>
    </xf>
    <xf numFmtId="14" fontId="28" fillId="0" borderId="0" xfId="0" applyNumberFormat="1" applyFont="1" applyAlignment="1">
      <alignment horizontal="left" vertical="top" wrapText="1"/>
    </xf>
    <xf numFmtId="0" fontId="27" fillId="7" borderId="0" xfId="0" applyFont="1" applyFill="1" applyAlignment="1">
      <alignment wrapText="1"/>
    </xf>
    <xf numFmtId="0" fontId="27" fillId="0" borderId="0" xfId="0" applyFont="1" applyFill="1" applyAlignment="1">
      <alignment wrapText="1"/>
    </xf>
    <xf numFmtId="0" fontId="0" fillId="0" borderId="0" xfId="0" applyAlignment="1">
      <alignment wrapText="1"/>
    </xf>
    <xf numFmtId="0" fontId="32" fillId="0" borderId="0" xfId="0" applyFont="1" applyAlignment="1">
      <alignment horizontal="center" vertical="center" wrapText="1"/>
    </xf>
    <xf numFmtId="0" fontId="33" fillId="0" borderId="0" xfId="0" applyFont="1" applyFill="1" applyAlignment="1">
      <alignment horizontal="center" vertical="center" wrapText="1"/>
    </xf>
    <xf numFmtId="0" fontId="34" fillId="0" borderId="0" xfId="0" applyFont="1" applyAlignment="1">
      <alignment horizontal="center" vertical="center" wrapText="1"/>
    </xf>
    <xf numFmtId="0" fontId="32" fillId="4" borderId="8" xfId="0" applyFont="1" applyFill="1" applyBorder="1" applyAlignment="1">
      <alignment horizontal="center" vertical="center" wrapText="1"/>
    </xf>
    <xf numFmtId="44" fontId="26" fillId="6" borderId="11" xfId="0" applyNumberFormat="1" applyFont="1" applyFill="1" applyBorder="1" applyAlignment="1">
      <alignment horizontal="left" vertical="center" wrapText="1"/>
    </xf>
    <xf numFmtId="44" fontId="26" fillId="0" borderId="11" xfId="0" applyNumberFormat="1" applyFont="1" applyBorder="1" applyAlignment="1">
      <alignment horizontal="left" vertical="center" wrapText="1"/>
    </xf>
    <xf numFmtId="0" fontId="25" fillId="2" borderId="0" xfId="1" applyBorder="1" applyAlignment="1">
      <alignment horizontal="left" vertical="center"/>
    </xf>
    <xf numFmtId="44" fontId="35" fillId="0" borderId="6" xfId="0" applyNumberFormat="1" applyFont="1" applyBorder="1" applyAlignment="1">
      <alignment horizontal="left" vertical="center" wrapText="1"/>
    </xf>
    <xf numFmtId="44" fontId="30" fillId="0" borderId="12" xfId="0" applyNumberFormat="1" applyFont="1" applyBorder="1" applyAlignment="1">
      <alignment horizontal="left" vertical="center"/>
    </xf>
    <xf numFmtId="44" fontId="26" fillId="0" borderId="13" xfId="0" applyNumberFormat="1" applyFont="1" applyBorder="1" applyAlignment="1">
      <alignment horizontal="left" vertical="center" wrapText="1"/>
    </xf>
    <xf numFmtId="44" fontId="26" fillId="4" borderId="14" xfId="0" applyNumberFormat="1" applyFont="1" applyFill="1" applyBorder="1" applyAlignment="1">
      <alignment horizontal="left" vertical="center"/>
    </xf>
    <xf numFmtId="44" fontId="29" fillId="0" borderId="2" xfId="0" applyNumberFormat="1" applyFont="1" applyBorder="1" applyAlignment="1">
      <alignment horizontal="left" vertical="center" wrapText="1"/>
    </xf>
    <xf numFmtId="44" fontId="29" fillId="0" borderId="6" xfId="0" applyNumberFormat="1" applyFont="1" applyBorder="1" applyAlignment="1">
      <alignment horizontal="left" vertical="center" wrapText="1"/>
    </xf>
    <xf numFmtId="44" fontId="26" fillId="0" borderId="12" xfId="3" applyFont="1" applyBorder="1" applyAlignment="1">
      <alignment horizontal="left" vertical="center" wrapText="1"/>
    </xf>
    <xf numFmtId="44" fontId="29" fillId="6" borderId="11" xfId="0" applyNumberFormat="1" applyFont="1" applyFill="1" applyBorder="1" applyAlignment="1">
      <alignment horizontal="left" vertical="center" wrapText="1"/>
    </xf>
    <xf numFmtId="44" fontId="29" fillId="0" borderId="11" xfId="0" applyNumberFormat="1" applyFont="1" applyFill="1" applyBorder="1" applyAlignment="1">
      <alignment horizontal="left" vertical="center" wrapText="1"/>
    </xf>
    <xf numFmtId="44" fontId="26" fillId="6" borderId="4" xfId="0" applyNumberFormat="1" applyFont="1" applyFill="1" applyBorder="1" applyAlignment="1">
      <alignment horizontal="left" vertical="center" wrapText="1"/>
    </xf>
    <xf numFmtId="44" fontId="26" fillId="0" borderId="4" xfId="0" applyNumberFormat="1" applyFont="1" applyBorder="1" applyAlignment="1">
      <alignment horizontal="left" vertical="center" wrapText="1"/>
    </xf>
    <xf numFmtId="44" fontId="29" fillId="6" borderId="15" xfId="0" applyNumberFormat="1" applyFont="1" applyFill="1" applyBorder="1" applyAlignment="1">
      <alignment horizontal="left" vertical="center" wrapText="1"/>
    </xf>
    <xf numFmtId="0" fontId="30" fillId="0" borderId="16" xfId="0" applyFont="1" applyBorder="1" applyAlignment="1">
      <alignment horizontal="center" vertical="center" wrapText="1"/>
    </xf>
    <xf numFmtId="0" fontId="30" fillId="6" borderId="17" xfId="0" applyFont="1" applyFill="1" applyBorder="1" applyAlignment="1">
      <alignment horizontal="center" vertical="center" wrapText="1"/>
    </xf>
    <xf numFmtId="0" fontId="30" fillId="0" borderId="5" xfId="0" applyFont="1" applyBorder="1" applyAlignment="1">
      <alignment horizontal="center" vertical="center" wrapText="1"/>
    </xf>
    <xf numFmtId="0" fontId="30" fillId="6" borderId="5" xfId="0" applyFont="1" applyFill="1" applyBorder="1" applyAlignment="1">
      <alignment horizontal="center" vertical="center" wrapText="1"/>
    </xf>
    <xf numFmtId="0" fontId="30" fillId="0" borderId="9" xfId="0" applyFont="1" applyBorder="1" applyAlignment="1">
      <alignment horizontal="center" vertical="center" wrapText="1"/>
    </xf>
    <xf numFmtId="0" fontId="32" fillId="4" borderId="9" xfId="0" applyFont="1" applyFill="1" applyBorder="1" applyAlignment="1">
      <alignment horizontal="center" vertical="center" wrapText="1"/>
    </xf>
    <xf numFmtId="44" fontId="29" fillId="0" borderId="15" xfId="0" applyNumberFormat="1" applyFont="1" applyFill="1" applyBorder="1" applyAlignment="1">
      <alignment horizontal="left" vertical="center" wrapText="1"/>
    </xf>
    <xf numFmtId="44" fontId="26" fillId="0" borderId="4" xfId="0" applyNumberFormat="1" applyFont="1" applyFill="1" applyBorder="1" applyAlignment="1">
      <alignment horizontal="left" vertical="center" wrapText="1"/>
    </xf>
    <xf numFmtId="44" fontId="26" fillId="0" borderId="2" xfId="0" applyNumberFormat="1" applyFont="1" applyFill="1" applyBorder="1" applyAlignment="1">
      <alignment horizontal="left" vertical="center" wrapText="1"/>
    </xf>
    <xf numFmtId="44" fontId="26" fillId="6" borderId="13" xfId="0" applyNumberFormat="1" applyFont="1" applyFill="1" applyBorder="1" applyAlignment="1">
      <alignment horizontal="left" vertical="center" wrapText="1"/>
    </xf>
    <xf numFmtId="44" fontId="26" fillId="6" borderId="2" xfId="3" applyFont="1" applyFill="1" applyBorder="1" applyAlignment="1">
      <alignment horizontal="left" vertical="center" wrapText="1"/>
    </xf>
    <xf numFmtId="44" fontId="26" fillId="0" borderId="2" xfId="3" applyFont="1" applyBorder="1" applyAlignment="1">
      <alignment horizontal="left" vertical="center" wrapText="1"/>
    </xf>
    <xf numFmtId="44" fontId="26" fillId="0" borderId="10" xfId="3" applyFont="1" applyBorder="1" applyAlignment="1">
      <alignment horizontal="left" vertical="center" wrapText="1"/>
    </xf>
    <xf numFmtId="44" fontId="29" fillId="0" borderId="3" xfId="0" applyNumberFormat="1" applyFont="1" applyFill="1" applyBorder="1" applyAlignment="1">
      <alignment horizontal="left" vertical="center" wrapText="1"/>
    </xf>
    <xf numFmtId="43" fontId="26" fillId="0" borderId="0" xfId="2" applyFont="1" applyAlignment="1">
      <alignment horizontal="left" vertical="center"/>
    </xf>
    <xf numFmtId="0" fontId="26" fillId="0" borderId="0" xfId="0" applyFont="1" applyAlignment="1">
      <alignment horizontal="right" vertical="center"/>
    </xf>
    <xf numFmtId="0" fontId="32" fillId="0" borderId="0" xfId="0" applyFont="1" applyAlignment="1">
      <alignment horizontal="left" vertical="center" wrapText="1"/>
    </xf>
    <xf numFmtId="44" fontId="26" fillId="6" borderId="18" xfId="0" applyNumberFormat="1" applyFont="1" applyFill="1" applyBorder="1" applyAlignment="1">
      <alignment horizontal="left" vertical="center"/>
    </xf>
    <xf numFmtId="44" fontId="26" fillId="4" borderId="18" xfId="0" applyNumberFormat="1" applyFont="1" applyFill="1" applyBorder="1" applyAlignment="1">
      <alignment horizontal="left" vertical="center"/>
    </xf>
    <xf numFmtId="44" fontId="26" fillId="4" borderId="19" xfId="0" applyNumberFormat="1" applyFont="1" applyFill="1" applyBorder="1" applyAlignment="1">
      <alignment horizontal="left" vertical="center"/>
    </xf>
    <xf numFmtId="0" fontId="32" fillId="4" borderId="20" xfId="0" applyFont="1" applyFill="1" applyBorder="1" applyAlignment="1">
      <alignment horizontal="center" vertical="center" wrapText="1"/>
    </xf>
    <xf numFmtId="0" fontId="26" fillId="6" borderId="4" xfId="0" applyFont="1" applyFill="1" applyBorder="1" applyAlignment="1">
      <alignment horizontal="left" vertical="center" wrapText="1"/>
    </xf>
    <xf numFmtId="44" fontId="30" fillId="0" borderId="2" xfId="0" applyNumberFormat="1" applyFont="1" applyBorder="1" applyAlignment="1">
      <alignment horizontal="left" vertical="center"/>
    </xf>
    <xf numFmtId="44" fontId="26" fillId="0" borderId="5" xfId="0" applyNumberFormat="1" applyFont="1" applyFill="1" applyBorder="1" applyAlignment="1">
      <alignment horizontal="left" vertical="center"/>
    </xf>
    <xf numFmtId="0" fontId="32" fillId="0" borderId="9" xfId="0" applyFont="1" applyFill="1" applyBorder="1" applyAlignment="1">
      <alignment horizontal="center" vertical="center" wrapText="1"/>
    </xf>
    <xf numFmtId="44" fontId="26" fillId="4" borderId="0" xfId="0" applyNumberFormat="1" applyFont="1" applyFill="1" applyBorder="1" applyAlignment="1">
      <alignment horizontal="left" vertical="center"/>
    </xf>
    <xf numFmtId="44" fontId="30" fillId="0" borderId="4" xfId="0" applyNumberFormat="1" applyFont="1" applyFill="1" applyBorder="1" applyAlignment="1">
      <alignment horizontal="left" vertical="center"/>
    </xf>
    <xf numFmtId="44" fontId="26" fillId="0" borderId="0" xfId="0" applyNumberFormat="1" applyFont="1" applyAlignment="1">
      <alignment horizontal="left" vertical="center"/>
    </xf>
    <xf numFmtId="0" fontId="32" fillId="0" borderId="0" xfId="0" applyFont="1" applyBorder="1" applyAlignment="1">
      <alignment horizontal="center" vertical="center" wrapText="1"/>
    </xf>
    <xf numFmtId="0" fontId="32" fillId="0" borderId="21" xfId="0" applyFont="1" applyBorder="1" applyAlignment="1">
      <alignment horizontal="center" vertical="center" wrapText="1"/>
    </xf>
    <xf numFmtId="44" fontId="26" fillId="0" borderId="1" xfId="0" applyNumberFormat="1" applyFont="1" applyFill="1" applyBorder="1" applyAlignment="1">
      <alignment horizontal="left" vertical="center" wrapText="1"/>
    </xf>
    <xf numFmtId="44" fontId="26" fillId="0" borderId="11" xfId="0" applyNumberFormat="1" applyFont="1" applyFill="1" applyBorder="1" applyAlignment="1">
      <alignment horizontal="left" vertical="center" wrapText="1"/>
    </xf>
    <xf numFmtId="0" fontId="8" fillId="0" borderId="16" xfId="0" applyFont="1" applyBorder="1" applyAlignment="1">
      <alignment wrapText="1"/>
    </xf>
    <xf numFmtId="44" fontId="26" fillId="5" borderId="1" xfId="0" applyNumberFormat="1" applyFont="1" applyFill="1" applyBorder="1" applyAlignment="1">
      <alignment horizontal="left" vertical="center" wrapText="1"/>
    </xf>
    <xf numFmtId="44" fontId="29" fillId="5" borderId="1" xfId="0" applyNumberFormat="1" applyFont="1" applyFill="1" applyBorder="1" applyAlignment="1">
      <alignment horizontal="left" vertical="center" wrapText="1"/>
    </xf>
    <xf numFmtId="44" fontId="26" fillId="5" borderId="11" xfId="0" applyNumberFormat="1" applyFont="1" applyFill="1" applyBorder="1" applyAlignment="1">
      <alignment horizontal="left" vertical="center" wrapText="1"/>
    </xf>
    <xf numFmtId="0" fontId="30" fillId="0" borderId="5" xfId="0" applyFont="1" applyFill="1" applyBorder="1" applyAlignment="1">
      <alignment horizontal="center" vertical="center" wrapText="1"/>
    </xf>
    <xf numFmtId="44" fontId="29" fillId="0" borderId="22" xfId="0" applyNumberFormat="1" applyFont="1" applyFill="1" applyBorder="1" applyAlignment="1">
      <alignment horizontal="left" vertical="center" wrapText="1"/>
    </xf>
    <xf numFmtId="44" fontId="29" fillId="0" borderId="23" xfId="0" applyNumberFormat="1" applyFont="1" applyFill="1" applyBorder="1" applyAlignment="1">
      <alignment horizontal="left" vertical="center" wrapText="1"/>
    </xf>
    <xf numFmtId="44" fontId="29" fillId="0" borderId="24" xfId="0" applyNumberFormat="1" applyFont="1" applyFill="1" applyBorder="1" applyAlignment="1">
      <alignment horizontal="left" vertical="center" wrapText="1"/>
    </xf>
    <xf numFmtId="44" fontId="26" fillId="0" borderId="23" xfId="0" applyNumberFormat="1" applyFont="1" applyBorder="1" applyAlignment="1">
      <alignment horizontal="left" vertical="center" wrapText="1"/>
    </xf>
    <xf numFmtId="44" fontId="26" fillId="0" borderId="24" xfId="0" applyNumberFormat="1" applyFont="1" applyBorder="1" applyAlignment="1">
      <alignment horizontal="left" vertical="center" wrapText="1"/>
    </xf>
    <xf numFmtId="44" fontId="26" fillId="0" borderId="22" xfId="0" applyNumberFormat="1" applyFont="1" applyBorder="1" applyAlignment="1">
      <alignment horizontal="left" vertical="center" wrapText="1"/>
    </xf>
    <xf numFmtId="44" fontId="26" fillId="4" borderId="17" xfId="0" applyNumberFormat="1" applyFont="1" applyFill="1" applyBorder="1" applyAlignment="1">
      <alignment horizontal="left" vertical="center"/>
    </xf>
    <xf numFmtId="44" fontId="26" fillId="0" borderId="12" xfId="0" applyNumberFormat="1" applyFont="1" applyBorder="1" applyAlignment="1">
      <alignment horizontal="left" vertical="center" wrapText="1"/>
    </xf>
    <xf numFmtId="44" fontId="26" fillId="0" borderId="0" xfId="0" applyNumberFormat="1" applyFont="1" applyBorder="1" applyAlignment="1">
      <alignment horizontal="left" vertical="center" wrapText="1"/>
    </xf>
    <xf numFmtId="44" fontId="29" fillId="0" borderId="25" xfId="0" applyNumberFormat="1" applyFont="1" applyFill="1" applyBorder="1" applyAlignment="1">
      <alignment horizontal="left" vertical="center" wrapText="1"/>
    </xf>
    <xf numFmtId="44" fontId="29" fillId="0" borderId="22" xfId="0" applyNumberFormat="1" applyFont="1" applyBorder="1" applyAlignment="1">
      <alignment horizontal="left" vertical="center" wrapText="1"/>
    </xf>
    <xf numFmtId="44" fontId="29" fillId="0" borderId="23" xfId="0" applyNumberFormat="1" applyFont="1" applyBorder="1" applyAlignment="1">
      <alignment horizontal="left" vertical="center" wrapText="1"/>
    </xf>
    <xf numFmtId="44" fontId="26" fillId="0" borderId="12" xfId="0" applyNumberFormat="1" applyFont="1" applyFill="1" applyBorder="1" applyAlignment="1">
      <alignment horizontal="left" vertical="center" wrapText="1"/>
    </xf>
    <xf numFmtId="44" fontId="26" fillId="0" borderId="26" xfId="0" applyNumberFormat="1" applyFont="1" applyBorder="1" applyAlignment="1">
      <alignment horizontal="left" vertical="center" wrapText="1"/>
    </xf>
    <xf numFmtId="44" fontId="26" fillId="0" borderId="27" xfId="0" applyNumberFormat="1" applyFont="1" applyBorder="1" applyAlignment="1">
      <alignment horizontal="left" vertical="center" wrapText="1"/>
    </xf>
    <xf numFmtId="0" fontId="26" fillId="0" borderId="12" xfId="0" applyFont="1" applyBorder="1" applyAlignment="1">
      <alignment horizontal="left" vertical="center" wrapText="1"/>
    </xf>
    <xf numFmtId="44" fontId="26" fillId="4" borderId="28" xfId="0" applyNumberFormat="1" applyFont="1" applyFill="1" applyBorder="1" applyAlignment="1">
      <alignment horizontal="left" vertical="center"/>
    </xf>
    <xf numFmtId="44" fontId="26" fillId="0" borderId="17" xfId="0" applyNumberFormat="1" applyFont="1" applyFill="1" applyBorder="1" applyAlignment="1">
      <alignment horizontal="left" vertical="center"/>
    </xf>
    <xf numFmtId="0" fontId="26" fillId="0" borderId="22" xfId="0" applyFont="1" applyBorder="1" applyAlignment="1">
      <alignment horizontal="left" vertical="center" wrapText="1"/>
    </xf>
    <xf numFmtId="0" fontId="31" fillId="4" borderId="7" xfId="0" applyFont="1" applyFill="1" applyBorder="1" applyAlignment="1">
      <alignment horizontal="left" vertical="center" wrapText="1"/>
    </xf>
    <xf numFmtId="0" fontId="31" fillId="4" borderId="16" xfId="0" applyFont="1" applyFill="1" applyBorder="1" applyAlignment="1">
      <alignment horizontal="right" wrapText="1"/>
    </xf>
    <xf numFmtId="0" fontId="36" fillId="0" borderId="16" xfId="0" applyFont="1" applyBorder="1" applyAlignment="1">
      <alignment vertical="center" wrapText="1"/>
    </xf>
    <xf numFmtId="0" fontId="36" fillId="0" borderId="29" xfId="0" applyFont="1" applyBorder="1" applyAlignment="1">
      <alignment vertical="center" wrapText="1"/>
    </xf>
    <xf numFmtId="0" fontId="31" fillId="4" borderId="30" xfId="0" applyFont="1" applyFill="1" applyBorder="1" applyAlignment="1">
      <alignment horizontal="right" wrapText="1"/>
    </xf>
    <xf numFmtId="0" fontId="31" fillId="4" borderId="29" xfId="0" applyFont="1" applyFill="1" applyBorder="1" applyAlignment="1">
      <alignment horizontal="right" wrapText="1"/>
    </xf>
    <xf numFmtId="0" fontId="37" fillId="0" borderId="31" xfId="0" applyFont="1" applyBorder="1" applyAlignment="1">
      <alignment vertical="top" wrapText="1"/>
    </xf>
    <xf numFmtId="0" fontId="32" fillId="0" borderId="10" xfId="0" applyFont="1" applyBorder="1" applyAlignment="1">
      <alignment horizontal="center" vertical="center" wrapText="1"/>
    </xf>
    <xf numFmtId="0" fontId="37" fillId="0" borderId="32" xfId="0" applyFont="1" applyBorder="1" applyAlignment="1">
      <alignment wrapText="1"/>
    </xf>
    <xf numFmtId="0" fontId="32" fillId="0" borderId="33" xfId="0" applyFont="1" applyBorder="1" applyAlignment="1">
      <alignment horizontal="center" vertical="center" wrapText="1"/>
    </xf>
    <xf numFmtId="0" fontId="8" fillId="0" borderId="32" xfId="0" applyFont="1" applyBorder="1" applyAlignment="1">
      <alignment wrapText="1"/>
    </xf>
    <xf numFmtId="0" fontId="32" fillId="0" borderId="32" xfId="0" applyFont="1" applyBorder="1" applyAlignment="1">
      <alignment wrapText="1"/>
    </xf>
    <xf numFmtId="0" fontId="32" fillId="0" borderId="34" xfId="0" applyFont="1" applyBorder="1" applyAlignment="1">
      <alignment vertical="center" wrapText="1"/>
    </xf>
    <xf numFmtId="0" fontId="32" fillId="0" borderId="35" xfId="0" applyFont="1" applyBorder="1" applyAlignment="1">
      <alignment horizontal="center" vertical="center" wrapText="1"/>
    </xf>
    <xf numFmtId="0" fontId="36" fillId="0" borderId="36" xfId="0" applyFont="1" applyBorder="1" applyAlignment="1">
      <alignment wrapText="1"/>
    </xf>
    <xf numFmtId="0" fontId="32" fillId="0" borderId="32" xfId="0" applyFont="1" applyBorder="1" applyAlignment="1">
      <alignment vertical="center" wrapText="1"/>
    </xf>
    <xf numFmtId="0" fontId="10" fillId="0" borderId="32" xfId="0" applyFont="1" applyBorder="1" applyAlignment="1">
      <alignment vertical="top" wrapText="1"/>
    </xf>
    <xf numFmtId="0" fontId="33" fillId="0" borderId="32" xfId="0" applyFont="1" applyBorder="1" applyAlignment="1">
      <alignment vertical="center" wrapText="1"/>
    </xf>
    <xf numFmtId="0" fontId="33" fillId="0" borderId="32" xfId="0" applyFont="1" applyBorder="1" applyAlignment="1">
      <alignment wrapText="1"/>
    </xf>
    <xf numFmtId="0" fontId="11" fillId="0" borderId="32" xfId="0" applyFont="1" applyBorder="1" applyAlignment="1">
      <alignment vertical="center" wrapText="1"/>
    </xf>
    <xf numFmtId="0" fontId="36" fillId="0" borderId="32" xfId="0" applyFont="1" applyBorder="1" applyAlignment="1">
      <alignment wrapText="1"/>
    </xf>
    <xf numFmtId="0" fontId="32" fillId="0" borderId="34" xfId="0" applyFont="1" applyBorder="1" applyAlignment="1">
      <alignment wrapText="1"/>
    </xf>
    <xf numFmtId="0" fontId="10" fillId="0" borderId="36" xfId="0" applyFont="1" applyBorder="1" applyAlignment="1">
      <alignment wrapText="1"/>
    </xf>
    <xf numFmtId="0" fontId="38" fillId="0" borderId="34" xfId="0" applyFont="1" applyBorder="1" applyAlignment="1">
      <alignment vertical="center" wrapText="1"/>
    </xf>
    <xf numFmtId="0" fontId="36" fillId="0" borderId="36" xfId="0" applyFont="1" applyBorder="1" applyAlignment="1">
      <alignment vertical="center" wrapText="1"/>
    </xf>
    <xf numFmtId="0" fontId="10" fillId="0" borderId="32" xfId="0" applyFont="1" applyBorder="1" applyAlignment="1">
      <alignment wrapText="1"/>
    </xf>
    <xf numFmtId="0" fontId="10" fillId="0" borderId="34" xfId="0" applyFont="1" applyBorder="1" applyAlignment="1">
      <alignment wrapText="1"/>
    </xf>
    <xf numFmtId="0" fontId="33" fillId="0" borderId="36" xfId="0" applyFont="1" applyBorder="1" applyAlignment="1">
      <alignment vertical="center" wrapText="1"/>
    </xf>
    <xf numFmtId="0" fontId="8" fillId="0" borderId="32" xfId="0" applyFont="1" applyBorder="1" applyAlignment="1">
      <alignment vertical="center" wrapText="1"/>
    </xf>
    <xf numFmtId="0" fontId="39" fillId="0" borderId="32" xfId="0" applyFont="1" applyBorder="1" applyAlignment="1">
      <alignment vertical="center" wrapText="1"/>
    </xf>
    <xf numFmtId="0" fontId="33" fillId="0" borderId="34" xfId="0" applyFont="1" applyBorder="1" applyAlignment="1">
      <alignment vertical="center" wrapText="1"/>
    </xf>
    <xf numFmtId="0" fontId="32" fillId="0" borderId="36" xfId="0" applyFont="1" applyBorder="1" applyAlignment="1">
      <alignment horizontal="justify" vertical="center" wrapText="1"/>
    </xf>
    <xf numFmtId="0" fontId="32" fillId="0" borderId="32" xfId="0" applyFont="1" applyBorder="1" applyAlignment="1">
      <alignment horizontal="justify" vertical="center" wrapText="1"/>
    </xf>
    <xf numFmtId="0" fontId="32" fillId="0" borderId="32" xfId="0" applyFont="1" applyFill="1" applyBorder="1" applyAlignment="1">
      <alignment horizontal="justify" vertical="center" wrapText="1"/>
    </xf>
    <xf numFmtId="0" fontId="8" fillId="0" borderId="32" xfId="0" applyFont="1" applyBorder="1" applyAlignment="1">
      <alignment horizontal="justify" vertical="center" wrapText="1"/>
    </xf>
    <xf numFmtId="0" fontId="8" fillId="0" borderId="34" xfId="0" applyFont="1" applyBorder="1" applyAlignment="1">
      <alignment horizontal="justify" vertical="center" wrapText="1"/>
    </xf>
    <xf numFmtId="0" fontId="10" fillId="0" borderId="34" xfId="0" applyFont="1" applyBorder="1" applyAlignment="1">
      <alignment horizontal="justify" vertical="center" wrapText="1"/>
    </xf>
    <xf numFmtId="0" fontId="33" fillId="0" borderId="29" xfId="0" applyFont="1" applyBorder="1" applyAlignment="1">
      <alignment horizontal="justify" vertical="center"/>
    </xf>
    <xf numFmtId="0" fontId="33" fillId="0" borderId="29" xfId="0" applyFont="1" applyBorder="1"/>
    <xf numFmtId="0" fontId="33" fillId="0" borderId="34" xfId="0" applyFont="1" applyBorder="1" applyAlignment="1">
      <alignment horizontal="justify" vertical="center" wrapText="1"/>
    </xf>
    <xf numFmtId="0" fontId="8" fillId="0" borderId="36" xfId="0" applyFont="1" applyBorder="1" applyAlignment="1">
      <alignment vertical="center" wrapText="1"/>
    </xf>
    <xf numFmtId="0" fontId="10" fillId="0" borderId="32" xfId="0" applyFont="1" applyBorder="1" applyAlignment="1">
      <alignment vertical="center" wrapText="1"/>
    </xf>
    <xf numFmtId="0" fontId="37" fillId="0" borderId="32" xfId="0" applyFont="1" applyBorder="1" applyAlignment="1">
      <alignment vertical="center" wrapText="1"/>
    </xf>
    <xf numFmtId="0" fontId="32" fillId="0" borderId="29" xfId="0" applyFont="1" applyFill="1" applyBorder="1" applyAlignment="1">
      <alignment vertical="center" wrapText="1"/>
    </xf>
    <xf numFmtId="0" fontId="32" fillId="0" borderId="35" xfId="0" applyFont="1" applyFill="1" applyBorder="1" applyAlignment="1">
      <alignment horizontal="center" vertical="center" wrapText="1"/>
    </xf>
    <xf numFmtId="0" fontId="32" fillId="0" borderId="36" xfId="0" applyFont="1" applyBorder="1" applyAlignment="1">
      <alignment vertical="center" wrapText="1"/>
    </xf>
    <xf numFmtId="0" fontId="38" fillId="0" borderId="10"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32" xfId="0" applyFont="1" applyBorder="1" applyAlignment="1">
      <alignment vertical="center" wrapText="1"/>
    </xf>
    <xf numFmtId="0" fontId="31" fillId="0" borderId="36" xfId="0" applyFont="1" applyBorder="1" applyAlignment="1">
      <alignment wrapText="1"/>
    </xf>
    <xf numFmtId="0" fontId="32" fillId="0" borderId="37" xfId="0" applyFont="1" applyBorder="1" applyAlignment="1">
      <alignment horizontal="center" vertical="center" wrapText="1"/>
    </xf>
    <xf numFmtId="0" fontId="26" fillId="0" borderId="36" xfId="0" applyFont="1" applyBorder="1" applyAlignment="1">
      <alignment wrapText="1"/>
    </xf>
    <xf numFmtId="0" fontId="26" fillId="0" borderId="36" xfId="0" applyFont="1" applyBorder="1" applyAlignment="1">
      <alignment horizontal="right" wrapText="1"/>
    </xf>
    <xf numFmtId="0" fontId="26" fillId="4" borderId="35" xfId="0" applyFont="1" applyFill="1" applyBorder="1" applyAlignment="1">
      <alignment horizontal="center" vertical="center" wrapText="1"/>
    </xf>
    <xf numFmtId="0" fontId="38" fillId="0" borderId="32" xfId="0" applyFont="1" applyFill="1" applyBorder="1" applyAlignment="1">
      <alignment horizontal="justify" vertical="center" wrapText="1"/>
    </xf>
    <xf numFmtId="0" fontId="8" fillId="0" borderId="32" xfId="0" applyFont="1" applyFill="1" applyBorder="1" applyAlignment="1">
      <alignment horizontal="justify" vertical="center" wrapText="1"/>
    </xf>
    <xf numFmtId="44" fontId="26" fillId="5" borderId="4" xfId="0" applyNumberFormat="1" applyFont="1" applyFill="1" applyBorder="1" applyAlignment="1">
      <alignment horizontal="left" vertical="center" wrapText="1"/>
    </xf>
    <xf numFmtId="44" fontId="18" fillId="0" borderId="1" xfId="0" applyNumberFormat="1" applyFont="1" applyFill="1" applyBorder="1" applyAlignment="1">
      <alignment horizontal="left" vertical="center" wrapText="1"/>
    </xf>
    <xf numFmtId="0" fontId="1" fillId="0" borderId="32" xfId="0" applyFont="1" applyBorder="1" applyAlignment="1">
      <alignment horizontal="justify" vertical="center" wrapText="1"/>
    </xf>
    <xf numFmtId="0" fontId="22" fillId="0" borderId="32" xfId="0" applyFont="1" applyFill="1" applyBorder="1" applyAlignment="1">
      <alignment vertical="top" wrapText="1"/>
    </xf>
    <xf numFmtId="0" fontId="1" fillId="0" borderId="32" xfId="0" applyFont="1" applyBorder="1" applyAlignment="1">
      <alignment vertical="center" wrapText="1"/>
    </xf>
    <xf numFmtId="44" fontId="29" fillId="5" borderId="4" xfId="0" applyNumberFormat="1" applyFont="1" applyFill="1" applyBorder="1" applyAlignment="1">
      <alignment horizontal="left" vertical="center" wrapText="1"/>
    </xf>
    <xf numFmtId="0" fontId="8" fillId="0" borderId="32" xfId="0" applyFont="1" applyFill="1" applyBorder="1" applyAlignment="1">
      <alignment vertical="center" wrapText="1"/>
    </xf>
    <xf numFmtId="0" fontId="26" fillId="0" borderId="0" xfId="0" applyFont="1" applyFill="1"/>
    <xf numFmtId="0" fontId="0" fillId="0" borderId="0" xfId="0" applyFill="1"/>
    <xf numFmtId="0" fontId="24" fillId="0" borderId="45" xfId="4" applyFont="1" applyFill="1"/>
    <xf numFmtId="0" fontId="0" fillId="0" borderId="0" xfId="0" applyFill="1" applyBorder="1"/>
    <xf numFmtId="0" fontId="27" fillId="0" borderId="0" xfId="0" applyFont="1" applyAlignment="1">
      <alignment horizontal="center"/>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21" xfId="0" applyFont="1" applyBorder="1" applyAlignment="1">
      <alignment horizontal="center" vertical="center" wrapText="1"/>
    </xf>
  </cellXfs>
  <cellStyles count="5">
    <cellStyle name="Check Cell" xfId="1" builtinId="23"/>
    <cellStyle name="Comma" xfId="2" builtinId="3"/>
    <cellStyle name="Currency" xfId="3" builtinId="4"/>
    <cellStyle name="Normal" xfId="0" builtinId="0"/>
    <cellStyle name="Note" xfId="4" builtin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tabSelected="1" zoomScaleNormal="100" workbookViewId="0">
      <pane xSplit="1" topLeftCell="B1" activePane="topRight" state="frozen"/>
      <selection activeCell="A97" sqref="A97"/>
      <selection pane="topRight" activeCell="I37" sqref="I37"/>
    </sheetView>
  </sheetViews>
  <sheetFormatPr defaultColWidth="8.85546875" defaultRowHeight="15" x14ac:dyDescent="0.2"/>
  <cols>
    <col min="1" max="1" width="51.85546875" style="39" customWidth="1"/>
    <col min="2" max="2" width="7.5703125" style="8" customWidth="1"/>
    <col min="3" max="3" width="1.7109375" style="8" customWidth="1"/>
    <col min="4" max="4" width="14" style="8" customWidth="1"/>
    <col min="5" max="6" width="13.42578125" style="8" hidden="1" customWidth="1"/>
    <col min="7" max="7" width="14" style="8" bestFit="1" customWidth="1"/>
    <col min="8" max="8" width="1.7109375" style="8" customWidth="1"/>
    <col min="9" max="9" width="14" style="8" bestFit="1" customWidth="1"/>
    <col min="10" max="12" width="13.42578125" style="8" hidden="1" customWidth="1"/>
    <col min="13" max="13" width="14" style="8" hidden="1" customWidth="1"/>
    <col min="14" max="14" width="15.28515625" style="8" customWidth="1"/>
    <col min="15" max="15" width="1.7109375" style="8" customWidth="1"/>
    <col min="16" max="16" width="14" style="8" bestFit="1" customWidth="1"/>
    <col min="17" max="18" width="13.42578125" style="8" hidden="1" customWidth="1"/>
    <col min="19" max="20" width="14" style="8" bestFit="1" customWidth="1"/>
    <col min="21" max="21" width="9.42578125" style="42" customWidth="1"/>
    <col min="22" max="22" width="10.7109375" bestFit="1" customWidth="1"/>
    <col min="26" max="26" width="8.85546875" style="179"/>
  </cols>
  <sheetData>
    <row r="1" spans="1:26" s="1" customFormat="1" ht="14.25" x14ac:dyDescent="0.2">
      <c r="A1" s="35" t="s">
        <v>13</v>
      </c>
      <c r="B1" s="4"/>
      <c r="C1" s="4"/>
      <c r="D1" s="6"/>
      <c r="E1" s="6"/>
      <c r="F1" s="6"/>
      <c r="G1" s="6"/>
      <c r="H1" s="6"/>
      <c r="I1" s="6"/>
      <c r="J1" s="6"/>
      <c r="K1" s="6"/>
      <c r="L1" s="6"/>
      <c r="M1" s="6"/>
      <c r="N1" s="6"/>
      <c r="O1" s="6"/>
      <c r="P1" s="6"/>
      <c r="Q1" s="6"/>
      <c r="R1" s="6"/>
      <c r="S1" s="6"/>
      <c r="T1" s="6"/>
      <c r="U1" s="40"/>
      <c r="Z1" s="178"/>
    </row>
    <row r="2" spans="1:26" s="1" customFormat="1" ht="14.25" x14ac:dyDescent="0.2">
      <c r="A2" s="36"/>
      <c r="B2" s="5"/>
      <c r="C2" s="5"/>
      <c r="D2" s="17" t="s">
        <v>17</v>
      </c>
      <c r="E2" s="17"/>
      <c r="F2" s="17"/>
      <c r="G2" s="17"/>
      <c r="H2" s="17"/>
      <c r="I2" s="17"/>
      <c r="J2" s="17"/>
      <c r="K2" s="17"/>
      <c r="L2" s="17"/>
      <c r="M2" s="17"/>
      <c r="N2" s="17"/>
      <c r="O2" s="17"/>
      <c r="P2" s="18"/>
      <c r="Q2" s="6"/>
      <c r="R2" s="6"/>
      <c r="S2" s="6"/>
      <c r="T2" s="6"/>
      <c r="U2" s="40"/>
      <c r="Z2" s="178"/>
    </row>
    <row r="3" spans="1:26" ht="15.75" customHeight="1" x14ac:dyDescent="0.25">
      <c r="A3" s="37" t="s">
        <v>76</v>
      </c>
      <c r="B3" s="7"/>
      <c r="C3" s="7"/>
      <c r="D3" s="7"/>
      <c r="E3" s="7"/>
      <c r="F3" s="7"/>
      <c r="G3" s="7"/>
      <c r="H3" s="7"/>
      <c r="I3" s="7"/>
      <c r="J3" s="7"/>
      <c r="K3" s="7"/>
      <c r="L3" s="7"/>
      <c r="M3" s="7"/>
      <c r="N3" s="7"/>
      <c r="O3" s="7"/>
      <c r="P3" s="7"/>
      <c r="Q3" s="7"/>
      <c r="R3" s="7"/>
      <c r="S3" s="7"/>
      <c r="T3" s="7"/>
      <c r="U3" s="41"/>
    </row>
    <row r="4" spans="1:26" ht="15.75" x14ac:dyDescent="0.25">
      <c r="A4" s="38" t="s">
        <v>16</v>
      </c>
      <c r="B4" s="7"/>
      <c r="C4" s="7"/>
      <c r="D4" s="7"/>
      <c r="E4" s="7"/>
      <c r="F4" s="7"/>
      <c r="G4" s="7"/>
      <c r="H4" s="7"/>
      <c r="I4" s="7"/>
      <c r="J4" s="7"/>
      <c r="K4" s="7"/>
      <c r="L4" s="7"/>
      <c r="M4" s="7"/>
      <c r="N4" s="7"/>
      <c r="O4" s="7"/>
      <c r="P4" s="7"/>
      <c r="Q4" s="7"/>
      <c r="R4" s="7"/>
      <c r="S4" s="7"/>
      <c r="T4" s="7"/>
      <c r="U4" s="41"/>
      <c r="V4" s="2"/>
    </row>
    <row r="5" spans="1:26" ht="15.75" x14ac:dyDescent="0.25">
      <c r="A5" s="182"/>
      <c r="B5" s="182"/>
      <c r="C5" s="182"/>
      <c r="D5" s="182"/>
      <c r="E5" s="182"/>
      <c r="F5" s="182"/>
      <c r="G5" s="182"/>
      <c r="H5" s="182"/>
      <c r="I5" s="182"/>
      <c r="J5" s="182"/>
      <c r="K5" s="182"/>
      <c r="L5" s="182"/>
      <c r="M5" s="182"/>
      <c r="N5" s="182"/>
      <c r="O5" s="182"/>
      <c r="P5" s="182"/>
      <c r="Q5" s="182"/>
      <c r="R5" s="182"/>
      <c r="S5" s="182"/>
      <c r="T5" s="182"/>
      <c r="U5" s="182"/>
    </row>
    <row r="6" spans="1:26" ht="15.75" thickBot="1" x14ac:dyDescent="0.25"/>
    <row r="7" spans="1:26" ht="14.25" x14ac:dyDescent="0.2">
      <c r="A7" s="183" t="s">
        <v>7</v>
      </c>
      <c r="B7" s="189" t="s">
        <v>8</v>
      </c>
      <c r="C7" s="190"/>
      <c r="D7" s="190"/>
      <c r="E7" s="190"/>
      <c r="F7" s="190"/>
      <c r="G7" s="190"/>
      <c r="H7" s="190"/>
      <c r="I7" s="190"/>
      <c r="J7" s="190"/>
      <c r="K7" s="190"/>
      <c r="L7" s="190"/>
      <c r="M7" s="190"/>
      <c r="N7" s="190"/>
      <c r="O7" s="190"/>
      <c r="P7" s="190"/>
      <c r="Q7" s="88"/>
      <c r="R7" s="88"/>
      <c r="S7" s="88"/>
      <c r="T7" s="88"/>
      <c r="U7" s="183" t="s">
        <v>0</v>
      </c>
    </row>
    <row r="8" spans="1:26" thickBot="1" x14ac:dyDescent="0.25">
      <c r="A8" s="184"/>
      <c r="B8" s="187" t="s">
        <v>9</v>
      </c>
      <c r="C8" s="188"/>
      <c r="D8" s="188"/>
      <c r="E8" s="188"/>
      <c r="F8" s="188"/>
      <c r="G8" s="188"/>
      <c r="H8" s="188"/>
      <c r="I8" s="188"/>
      <c r="J8" s="188"/>
      <c r="K8" s="188"/>
      <c r="L8" s="188"/>
      <c r="M8" s="188"/>
      <c r="N8" s="188"/>
      <c r="O8" s="188"/>
      <c r="P8" s="188"/>
      <c r="Q8" s="87"/>
      <c r="R8" s="87"/>
      <c r="S8" s="87"/>
      <c r="T8" s="87"/>
      <c r="U8" s="184"/>
    </row>
    <row r="9" spans="1:26" ht="48.75" thickBot="1" x14ac:dyDescent="0.25">
      <c r="A9" s="186"/>
      <c r="B9" s="59" t="s">
        <v>15</v>
      </c>
      <c r="C9" s="60"/>
      <c r="D9" s="61" t="s">
        <v>92</v>
      </c>
      <c r="E9" s="61" t="s">
        <v>79</v>
      </c>
      <c r="F9" s="61" t="s">
        <v>82</v>
      </c>
      <c r="G9" s="61" t="s">
        <v>93</v>
      </c>
      <c r="H9" s="62"/>
      <c r="I9" s="61" t="s">
        <v>94</v>
      </c>
      <c r="J9" s="61" t="s">
        <v>79</v>
      </c>
      <c r="K9" s="61" t="s">
        <v>80</v>
      </c>
      <c r="L9" s="61" t="s">
        <v>83</v>
      </c>
      <c r="M9" s="61" t="s">
        <v>98</v>
      </c>
      <c r="N9" s="95" t="s">
        <v>97</v>
      </c>
      <c r="O9" s="62"/>
      <c r="P9" s="61" t="s">
        <v>95</v>
      </c>
      <c r="Q9" s="61" t="s">
        <v>79</v>
      </c>
      <c r="R9" s="61" t="s">
        <v>80</v>
      </c>
      <c r="S9" s="63" t="s">
        <v>96</v>
      </c>
      <c r="T9" s="63" t="s">
        <v>122</v>
      </c>
      <c r="U9" s="185"/>
    </row>
    <row r="10" spans="1:26" ht="75.75" customHeight="1" x14ac:dyDescent="0.2">
      <c r="A10" s="121" t="s">
        <v>25</v>
      </c>
      <c r="B10" s="96">
        <v>0</v>
      </c>
      <c r="C10" s="20"/>
      <c r="D10" s="12">
        <v>0</v>
      </c>
      <c r="E10" s="12">
        <v>0</v>
      </c>
      <c r="F10" s="12">
        <v>0</v>
      </c>
      <c r="G10" s="12">
        <v>0</v>
      </c>
      <c r="H10" s="20"/>
      <c r="I10" s="12">
        <v>5000</v>
      </c>
      <c r="J10" s="12">
        <v>5000</v>
      </c>
      <c r="K10" s="12">
        <v>5000</v>
      </c>
      <c r="L10" s="12">
        <v>5000</v>
      </c>
      <c r="M10" s="12">
        <v>5000</v>
      </c>
      <c r="N10" s="12">
        <v>2500</v>
      </c>
      <c r="O10" s="20"/>
      <c r="P10" s="12">
        <v>5000</v>
      </c>
      <c r="Q10" s="12">
        <v>5000</v>
      </c>
      <c r="R10" s="12">
        <v>5000</v>
      </c>
      <c r="S10" s="12">
        <v>0</v>
      </c>
      <c r="T10" s="12">
        <v>0</v>
      </c>
      <c r="U10" s="122">
        <v>1103</v>
      </c>
    </row>
    <row r="11" spans="1:26" ht="42.75" x14ac:dyDescent="0.2">
      <c r="A11" s="123" t="s">
        <v>26</v>
      </c>
      <c r="B11" s="97">
        <v>0</v>
      </c>
      <c r="C11" s="25"/>
      <c r="D11" s="34">
        <v>0</v>
      </c>
      <c r="E11" s="34">
        <v>0</v>
      </c>
      <c r="F11" s="34">
        <v>0</v>
      </c>
      <c r="G11" s="34">
        <v>0</v>
      </c>
      <c r="H11" s="25"/>
      <c r="I11" s="34">
        <v>10000</v>
      </c>
      <c r="J11" s="34">
        <v>10000</v>
      </c>
      <c r="K11" s="34">
        <v>10000</v>
      </c>
      <c r="L11" s="34">
        <v>10000</v>
      </c>
      <c r="M11" s="34">
        <v>10000</v>
      </c>
      <c r="N11" s="34">
        <v>2524.75</v>
      </c>
      <c r="O11" s="25"/>
      <c r="P11" s="34">
        <v>10000</v>
      </c>
      <c r="Q11" s="34">
        <v>10000</v>
      </c>
      <c r="R11" s="34">
        <v>10000</v>
      </c>
      <c r="S11" s="34">
        <v>0</v>
      </c>
      <c r="T11" s="34">
        <v>0</v>
      </c>
      <c r="U11" s="124">
        <v>1103</v>
      </c>
    </row>
    <row r="12" spans="1:26" ht="213.75" x14ac:dyDescent="0.2">
      <c r="A12" s="125" t="s">
        <v>116</v>
      </c>
      <c r="B12" s="97">
        <v>0</v>
      </c>
      <c r="C12" s="25"/>
      <c r="D12" s="34">
        <v>20664</v>
      </c>
      <c r="E12" s="34">
        <v>20664</v>
      </c>
      <c r="F12" s="34">
        <v>20664</v>
      </c>
      <c r="G12" s="34">
        <v>20664</v>
      </c>
      <c r="H12" s="25"/>
      <c r="I12" s="34">
        <v>41328</v>
      </c>
      <c r="J12" s="34">
        <v>41328</v>
      </c>
      <c r="K12" s="34">
        <v>0</v>
      </c>
      <c r="L12" s="34">
        <v>0</v>
      </c>
      <c r="M12" s="34">
        <v>0</v>
      </c>
      <c r="N12" s="34">
        <v>0</v>
      </c>
      <c r="O12" s="25"/>
      <c r="P12" s="34">
        <v>41328</v>
      </c>
      <c r="Q12" s="34">
        <v>41328</v>
      </c>
      <c r="R12" s="34">
        <v>0</v>
      </c>
      <c r="S12" s="34">
        <v>72592</v>
      </c>
      <c r="T12" s="34">
        <v>72592</v>
      </c>
      <c r="U12" s="124">
        <v>1103</v>
      </c>
    </row>
    <row r="13" spans="1:26" ht="42.75" x14ac:dyDescent="0.2">
      <c r="A13" s="126" t="s">
        <v>27</v>
      </c>
      <c r="B13" s="97">
        <v>0</v>
      </c>
      <c r="C13" s="25"/>
      <c r="D13" s="34">
        <v>2000</v>
      </c>
      <c r="E13" s="34">
        <v>2000</v>
      </c>
      <c r="F13" s="34">
        <v>2000</v>
      </c>
      <c r="G13" s="34">
        <v>0</v>
      </c>
      <c r="H13" s="25"/>
      <c r="I13" s="34">
        <v>2000</v>
      </c>
      <c r="J13" s="34">
        <v>2000</v>
      </c>
      <c r="K13" s="34">
        <v>0</v>
      </c>
      <c r="L13" s="34">
        <v>0</v>
      </c>
      <c r="M13" s="34">
        <v>0</v>
      </c>
      <c r="N13" s="34">
        <v>0</v>
      </c>
      <c r="O13" s="25"/>
      <c r="P13" s="34">
        <v>2000</v>
      </c>
      <c r="Q13" s="34">
        <v>2000</v>
      </c>
      <c r="R13" s="34">
        <v>0</v>
      </c>
      <c r="S13" s="34">
        <v>0</v>
      </c>
      <c r="T13" s="34">
        <v>0</v>
      </c>
      <c r="U13" s="124">
        <v>1100</v>
      </c>
    </row>
    <row r="14" spans="1:26" ht="128.25" x14ac:dyDescent="0.2">
      <c r="A14" s="127" t="s">
        <v>28</v>
      </c>
      <c r="B14" s="98">
        <v>0</v>
      </c>
      <c r="C14" s="54"/>
      <c r="D14" s="55">
        <v>148698</v>
      </c>
      <c r="E14" s="55">
        <v>148698</v>
      </c>
      <c r="F14" s="55">
        <v>148698</v>
      </c>
      <c r="G14" s="55">
        <v>116440</v>
      </c>
      <c r="H14" s="54"/>
      <c r="I14" s="55">
        <v>148698</v>
      </c>
      <c r="J14" s="55">
        <v>148698</v>
      </c>
      <c r="K14" s="55">
        <v>0</v>
      </c>
      <c r="L14" s="55">
        <v>0</v>
      </c>
      <c r="M14" s="55">
        <v>0</v>
      </c>
      <c r="N14" s="55">
        <v>0</v>
      </c>
      <c r="O14" s="54"/>
      <c r="P14" s="55">
        <v>148698</v>
      </c>
      <c r="Q14" s="55">
        <v>148698</v>
      </c>
      <c r="R14" s="55">
        <v>0</v>
      </c>
      <c r="S14" s="55">
        <v>0</v>
      </c>
      <c r="T14" s="55">
        <v>0</v>
      </c>
      <c r="U14" s="128">
        <v>1101</v>
      </c>
    </row>
    <row r="15" spans="1:26" ht="100.5" x14ac:dyDescent="0.2">
      <c r="A15" s="129" t="s">
        <v>71</v>
      </c>
      <c r="B15" s="96">
        <v>0</v>
      </c>
      <c r="C15" s="20"/>
      <c r="D15" s="12">
        <v>0</v>
      </c>
      <c r="E15" s="12">
        <v>0</v>
      </c>
      <c r="F15" s="12">
        <v>0</v>
      </c>
      <c r="G15" s="12"/>
      <c r="H15" s="20"/>
      <c r="I15" s="12">
        <v>0</v>
      </c>
      <c r="J15" s="12">
        <v>0</v>
      </c>
      <c r="K15" s="12">
        <v>139044</v>
      </c>
      <c r="L15" s="12">
        <v>139044</v>
      </c>
      <c r="M15" s="12">
        <v>139044</v>
      </c>
      <c r="N15" s="12">
        <v>130685.57</v>
      </c>
      <c r="O15" s="20"/>
      <c r="P15" s="12">
        <v>0</v>
      </c>
      <c r="Q15" s="12">
        <v>0</v>
      </c>
      <c r="R15" s="12">
        <v>139044</v>
      </c>
      <c r="S15" s="12">
        <v>139044</v>
      </c>
      <c r="T15" s="12">
        <v>139044</v>
      </c>
      <c r="U15" s="122">
        <v>1101</v>
      </c>
    </row>
    <row r="16" spans="1:26" ht="114" x14ac:dyDescent="0.2">
      <c r="A16" s="130" t="s">
        <v>29</v>
      </c>
      <c r="B16" s="97">
        <v>0</v>
      </c>
      <c r="C16" s="25"/>
      <c r="D16" s="34">
        <v>3600</v>
      </c>
      <c r="E16" s="34">
        <v>3600</v>
      </c>
      <c r="F16" s="34">
        <v>3600</v>
      </c>
      <c r="G16" s="34">
        <v>0</v>
      </c>
      <c r="H16" s="25"/>
      <c r="I16" s="34">
        <v>3600</v>
      </c>
      <c r="J16" s="34">
        <v>3600</v>
      </c>
      <c r="K16" s="34">
        <v>0</v>
      </c>
      <c r="L16" s="34">
        <v>0</v>
      </c>
      <c r="M16" s="34">
        <v>0</v>
      </c>
      <c r="N16" s="34">
        <v>0</v>
      </c>
      <c r="O16" s="25"/>
      <c r="P16" s="34">
        <v>3600</v>
      </c>
      <c r="Q16" s="34">
        <v>3600</v>
      </c>
      <c r="R16" s="34">
        <v>0</v>
      </c>
      <c r="S16" s="34">
        <v>0</v>
      </c>
      <c r="T16" s="34">
        <v>0</v>
      </c>
      <c r="U16" s="124">
        <v>1903</v>
      </c>
    </row>
    <row r="17" spans="1:21" ht="202.5" customHeight="1" x14ac:dyDescent="0.2">
      <c r="A17" s="131" t="s">
        <v>99</v>
      </c>
      <c r="B17" s="97">
        <v>0</v>
      </c>
      <c r="C17" s="25"/>
      <c r="D17" s="34">
        <v>0</v>
      </c>
      <c r="E17" s="34">
        <v>0</v>
      </c>
      <c r="F17" s="34">
        <v>0</v>
      </c>
      <c r="G17" s="34">
        <v>0</v>
      </c>
      <c r="H17" s="25"/>
      <c r="I17" s="34">
        <v>0</v>
      </c>
      <c r="J17" s="34">
        <v>0</v>
      </c>
      <c r="K17" s="34">
        <v>15000</v>
      </c>
      <c r="L17" s="34">
        <v>15000</v>
      </c>
      <c r="M17" s="34">
        <v>15000</v>
      </c>
      <c r="N17" s="34">
        <v>15000</v>
      </c>
      <c r="O17" s="25"/>
      <c r="P17" s="34">
        <v>0</v>
      </c>
      <c r="Q17" s="34">
        <v>0</v>
      </c>
      <c r="R17" s="34">
        <v>15000</v>
      </c>
      <c r="S17" s="34">
        <f>15000+10000</f>
        <v>25000</v>
      </c>
      <c r="T17" s="34">
        <f>15000+10000</f>
        <v>25000</v>
      </c>
      <c r="U17" s="124">
        <v>1903</v>
      </c>
    </row>
    <row r="18" spans="1:21" ht="114" x14ac:dyDescent="0.2">
      <c r="A18" s="127" t="s">
        <v>30</v>
      </c>
      <c r="B18" s="98">
        <v>0</v>
      </c>
      <c r="C18" s="54"/>
      <c r="D18" s="55">
        <v>386745</v>
      </c>
      <c r="E18" s="55">
        <v>386745</v>
      </c>
      <c r="F18" s="55">
        <v>386745</v>
      </c>
      <c r="G18" s="55">
        <v>319373</v>
      </c>
      <c r="H18" s="54"/>
      <c r="I18" s="55">
        <v>386745</v>
      </c>
      <c r="J18" s="55">
        <v>386745</v>
      </c>
      <c r="K18" s="55">
        <v>0</v>
      </c>
      <c r="L18" s="55">
        <v>0</v>
      </c>
      <c r="M18" s="55">
        <v>0</v>
      </c>
      <c r="N18" s="55">
        <v>0</v>
      </c>
      <c r="O18" s="54"/>
      <c r="P18" s="55">
        <v>386745</v>
      </c>
      <c r="Q18" s="55">
        <v>386745</v>
      </c>
      <c r="R18" s="55">
        <v>0</v>
      </c>
      <c r="S18" s="55">
        <v>0</v>
      </c>
      <c r="T18" s="55">
        <v>0</v>
      </c>
      <c r="U18" s="128">
        <v>1101</v>
      </c>
    </row>
    <row r="19" spans="1:21" ht="149.25" customHeight="1" x14ac:dyDescent="0.2">
      <c r="A19" s="129" t="s">
        <v>31</v>
      </c>
      <c r="B19" s="96">
        <v>0</v>
      </c>
      <c r="C19" s="20"/>
      <c r="D19" s="12">
        <v>0</v>
      </c>
      <c r="E19" s="12">
        <v>0</v>
      </c>
      <c r="F19" s="12">
        <v>0</v>
      </c>
      <c r="G19" s="12">
        <v>0</v>
      </c>
      <c r="H19" s="20"/>
      <c r="I19" s="12">
        <v>0</v>
      </c>
      <c r="J19" s="12">
        <v>0</v>
      </c>
      <c r="K19" s="12">
        <v>203634</v>
      </c>
      <c r="L19" s="12">
        <v>203634</v>
      </c>
      <c r="M19" s="12">
        <v>203634</v>
      </c>
      <c r="N19" s="12">
        <v>195886.94</v>
      </c>
      <c r="O19" s="20"/>
      <c r="P19" s="12">
        <v>0</v>
      </c>
      <c r="Q19" s="12">
        <v>0</v>
      </c>
      <c r="R19" s="12">
        <v>203634</v>
      </c>
      <c r="S19" s="12">
        <v>203634</v>
      </c>
      <c r="T19" s="12">
        <v>203634</v>
      </c>
      <c r="U19" s="122">
        <v>1101</v>
      </c>
    </row>
    <row r="20" spans="1:21" ht="72" x14ac:dyDescent="0.2">
      <c r="A20" s="132" t="s">
        <v>32</v>
      </c>
      <c r="B20" s="97">
        <v>0</v>
      </c>
      <c r="C20" s="25"/>
      <c r="D20" s="34">
        <v>0</v>
      </c>
      <c r="E20" s="34">
        <v>0</v>
      </c>
      <c r="F20" s="34">
        <v>0</v>
      </c>
      <c r="G20" s="34">
        <v>0</v>
      </c>
      <c r="H20" s="25"/>
      <c r="I20" s="34">
        <v>0</v>
      </c>
      <c r="J20" s="34">
        <v>0</v>
      </c>
      <c r="K20" s="34">
        <v>12540</v>
      </c>
      <c r="L20" s="34">
        <v>12540</v>
      </c>
      <c r="M20" s="34">
        <v>12540</v>
      </c>
      <c r="N20" s="34">
        <v>2850.84</v>
      </c>
      <c r="O20" s="25"/>
      <c r="P20" s="34">
        <v>0</v>
      </c>
      <c r="Q20" s="34">
        <v>0</v>
      </c>
      <c r="R20" s="34">
        <v>12540</v>
      </c>
      <c r="S20" s="34">
        <v>12540</v>
      </c>
      <c r="T20" s="93">
        <v>2873</v>
      </c>
      <c r="U20" s="124">
        <v>1105</v>
      </c>
    </row>
    <row r="21" spans="1:21" ht="186" customHeight="1" x14ac:dyDescent="0.25">
      <c r="A21" s="133" t="s">
        <v>33</v>
      </c>
      <c r="B21" s="97">
        <v>0</v>
      </c>
      <c r="C21" s="25"/>
      <c r="D21" s="34">
        <v>0</v>
      </c>
      <c r="E21" s="34">
        <v>0</v>
      </c>
      <c r="F21" s="34">
        <v>0</v>
      </c>
      <c r="G21" s="34"/>
      <c r="H21" s="25"/>
      <c r="I21" s="34">
        <v>0</v>
      </c>
      <c r="J21" s="34">
        <v>0</v>
      </c>
      <c r="K21" s="34">
        <v>72592</v>
      </c>
      <c r="L21" s="34">
        <v>72592</v>
      </c>
      <c r="M21" s="34">
        <v>72592</v>
      </c>
      <c r="N21" s="34">
        <v>65248.98</v>
      </c>
      <c r="O21" s="25"/>
      <c r="P21" s="34">
        <v>0</v>
      </c>
      <c r="Q21" s="34">
        <v>0</v>
      </c>
      <c r="R21" s="34">
        <v>72592</v>
      </c>
      <c r="S21" s="34">
        <v>72592</v>
      </c>
      <c r="T21" s="34">
        <v>72592</v>
      </c>
      <c r="U21" s="124">
        <v>1901</v>
      </c>
    </row>
    <row r="22" spans="1:21" ht="104.25" customHeight="1" x14ac:dyDescent="0.2">
      <c r="A22" s="126" t="s">
        <v>34</v>
      </c>
      <c r="B22" s="97">
        <v>0</v>
      </c>
      <c r="C22" s="25"/>
      <c r="D22" s="34">
        <v>32400</v>
      </c>
      <c r="E22" s="34">
        <v>32400</v>
      </c>
      <c r="F22" s="34">
        <v>32400</v>
      </c>
      <c r="G22" s="34">
        <v>32400</v>
      </c>
      <c r="H22" s="25"/>
      <c r="I22" s="34">
        <v>32400</v>
      </c>
      <c r="J22" s="34">
        <v>32400</v>
      </c>
      <c r="K22" s="34">
        <v>0</v>
      </c>
      <c r="L22" s="34">
        <v>0</v>
      </c>
      <c r="M22" s="34">
        <v>0</v>
      </c>
      <c r="N22" s="34">
        <v>0</v>
      </c>
      <c r="O22" s="25"/>
      <c r="P22" s="34">
        <v>32400</v>
      </c>
      <c r="Q22" s="34">
        <v>32400</v>
      </c>
      <c r="R22" s="9">
        <v>0</v>
      </c>
      <c r="S22" s="9">
        <v>0</v>
      </c>
      <c r="T22" s="9">
        <v>0</v>
      </c>
      <c r="U22" s="124">
        <v>1903</v>
      </c>
    </row>
    <row r="23" spans="1:21" ht="286.5" x14ac:dyDescent="0.2">
      <c r="A23" s="134" t="s">
        <v>111</v>
      </c>
      <c r="B23" s="97">
        <v>0</v>
      </c>
      <c r="C23" s="25"/>
      <c r="D23" s="34">
        <v>0</v>
      </c>
      <c r="E23" s="34">
        <v>0</v>
      </c>
      <c r="F23" s="34">
        <v>0</v>
      </c>
      <c r="G23" s="34">
        <v>0</v>
      </c>
      <c r="H23" s="25"/>
      <c r="I23" s="34">
        <v>0</v>
      </c>
      <c r="J23" s="34">
        <v>0</v>
      </c>
      <c r="K23" s="34">
        <v>56250</v>
      </c>
      <c r="L23" s="34">
        <f>27296+57359</f>
        <v>84655</v>
      </c>
      <c r="M23" s="34">
        <f>27296+57359</f>
        <v>84655</v>
      </c>
      <c r="N23" s="34">
        <v>84655</v>
      </c>
      <c r="O23" s="25"/>
      <c r="P23" s="34">
        <v>0</v>
      </c>
      <c r="Q23" s="34">
        <v>0</v>
      </c>
      <c r="R23" s="9">
        <v>56250</v>
      </c>
      <c r="S23" s="89">
        <f>56250+27296</f>
        <v>83546</v>
      </c>
      <c r="T23" s="92">
        <f>56250</f>
        <v>56250</v>
      </c>
      <c r="U23" s="124" t="s">
        <v>72</v>
      </c>
    </row>
    <row r="24" spans="1:21" ht="85.5" x14ac:dyDescent="0.2">
      <c r="A24" s="130" t="s">
        <v>35</v>
      </c>
      <c r="B24" s="99">
        <v>0</v>
      </c>
      <c r="C24" s="21"/>
      <c r="D24" s="9">
        <v>7400</v>
      </c>
      <c r="E24" s="9">
        <v>7400</v>
      </c>
      <c r="F24" s="9">
        <v>7400</v>
      </c>
      <c r="G24" s="9">
        <v>0</v>
      </c>
      <c r="H24" s="21"/>
      <c r="I24" s="9">
        <v>7400</v>
      </c>
      <c r="J24" s="9">
        <v>7400</v>
      </c>
      <c r="K24" s="9">
        <v>0</v>
      </c>
      <c r="L24" s="9">
        <v>0</v>
      </c>
      <c r="M24" s="9">
        <v>0</v>
      </c>
      <c r="N24" s="89">
        <v>0</v>
      </c>
      <c r="O24" s="21"/>
      <c r="P24" s="9">
        <v>7400</v>
      </c>
      <c r="Q24" s="9">
        <v>7400</v>
      </c>
      <c r="R24" s="9">
        <v>0</v>
      </c>
      <c r="S24" s="9">
        <v>0</v>
      </c>
      <c r="T24" s="9">
        <v>0</v>
      </c>
      <c r="U24" s="124">
        <v>1903</v>
      </c>
    </row>
    <row r="25" spans="1:21" ht="175.5" customHeight="1" x14ac:dyDescent="0.2">
      <c r="A25" s="135" t="s">
        <v>113</v>
      </c>
      <c r="B25" s="99">
        <v>0</v>
      </c>
      <c r="C25" s="21"/>
      <c r="D25" s="9">
        <v>0</v>
      </c>
      <c r="E25" s="9">
        <v>0</v>
      </c>
      <c r="F25" s="9">
        <v>0</v>
      </c>
      <c r="G25" s="9">
        <v>0</v>
      </c>
      <c r="H25" s="21"/>
      <c r="I25" s="9">
        <v>0</v>
      </c>
      <c r="J25" s="9">
        <v>0</v>
      </c>
      <c r="K25" s="9">
        <v>36296</v>
      </c>
      <c r="L25" s="9">
        <v>36296</v>
      </c>
      <c r="M25" s="9">
        <v>36296</v>
      </c>
      <c r="N25" s="89">
        <v>36459.440000000002</v>
      </c>
      <c r="O25" s="21"/>
      <c r="P25" s="9">
        <v>0</v>
      </c>
      <c r="Q25" s="9">
        <v>0</v>
      </c>
      <c r="R25" s="9">
        <v>36296</v>
      </c>
      <c r="S25" s="9">
        <v>36296</v>
      </c>
      <c r="T25" s="9">
        <v>36296</v>
      </c>
      <c r="U25" s="124">
        <v>1901</v>
      </c>
    </row>
    <row r="26" spans="1:21" ht="70.5" customHeight="1" x14ac:dyDescent="0.2">
      <c r="A26" s="136" t="s">
        <v>81</v>
      </c>
      <c r="B26" s="100">
        <v>0</v>
      </c>
      <c r="C26" s="44"/>
      <c r="D26" s="45">
        <v>8150</v>
      </c>
      <c r="E26" s="45">
        <v>8150</v>
      </c>
      <c r="F26" s="45">
        <v>8150</v>
      </c>
      <c r="G26" s="45">
        <v>8150</v>
      </c>
      <c r="H26" s="44"/>
      <c r="I26" s="45">
        <v>8150</v>
      </c>
      <c r="J26" s="45">
        <v>8150</v>
      </c>
      <c r="K26" s="45">
        <v>0</v>
      </c>
      <c r="L26" s="45">
        <v>0</v>
      </c>
      <c r="M26" s="45">
        <v>0</v>
      </c>
      <c r="N26" s="45">
        <v>0</v>
      </c>
      <c r="O26" s="44"/>
      <c r="P26" s="45">
        <v>8150</v>
      </c>
      <c r="Q26" s="45">
        <v>8150</v>
      </c>
      <c r="R26" s="45">
        <v>0</v>
      </c>
      <c r="S26" s="45">
        <v>0</v>
      </c>
      <c r="T26" s="45">
        <v>0</v>
      </c>
      <c r="U26" s="128">
        <v>1101</v>
      </c>
    </row>
    <row r="27" spans="1:21" ht="171.75" x14ac:dyDescent="0.2">
      <c r="A27" s="137" t="s">
        <v>100</v>
      </c>
      <c r="B27" s="101">
        <v>0</v>
      </c>
      <c r="C27" s="56"/>
      <c r="D27" s="57">
        <v>0</v>
      </c>
      <c r="E27" s="57">
        <v>0</v>
      </c>
      <c r="F27" s="57">
        <v>0</v>
      </c>
      <c r="G27" s="57">
        <v>0</v>
      </c>
      <c r="H27" s="56"/>
      <c r="I27" s="57">
        <v>0</v>
      </c>
      <c r="J27" s="57">
        <v>0</v>
      </c>
      <c r="K27" s="57">
        <v>19200</v>
      </c>
      <c r="L27" s="57">
        <v>19200</v>
      </c>
      <c r="M27" s="57">
        <v>19200</v>
      </c>
      <c r="N27" s="57">
        <v>19200</v>
      </c>
      <c r="O27" s="56"/>
      <c r="P27" s="57">
        <v>0</v>
      </c>
      <c r="Q27" s="57">
        <v>0</v>
      </c>
      <c r="R27" s="57">
        <v>19200</v>
      </c>
      <c r="S27" s="66">
        <f>19200+19200</f>
        <v>38400</v>
      </c>
      <c r="T27" s="66">
        <f>19200+19200</f>
        <v>38400</v>
      </c>
      <c r="U27" s="122" t="s">
        <v>85</v>
      </c>
    </row>
    <row r="28" spans="1:21" ht="57" x14ac:dyDescent="0.2">
      <c r="A28" s="126" t="s">
        <v>36</v>
      </c>
      <c r="B28" s="99">
        <v>0</v>
      </c>
      <c r="C28" s="21"/>
      <c r="D28" s="9">
        <v>3073</v>
      </c>
      <c r="E28" s="9">
        <v>3073</v>
      </c>
      <c r="F28" s="9">
        <v>3073</v>
      </c>
      <c r="G28" s="9">
        <v>0</v>
      </c>
      <c r="H28" s="21"/>
      <c r="I28" s="9">
        <v>3075</v>
      </c>
      <c r="J28" s="9">
        <v>3075</v>
      </c>
      <c r="K28" s="9">
        <v>0</v>
      </c>
      <c r="L28" s="9">
        <v>0</v>
      </c>
      <c r="M28" s="9">
        <v>0</v>
      </c>
      <c r="N28" s="9">
        <v>0</v>
      </c>
      <c r="O28" s="21"/>
      <c r="P28" s="9">
        <v>3075</v>
      </c>
      <c r="Q28" s="9">
        <v>3075</v>
      </c>
      <c r="R28" s="9">
        <v>0</v>
      </c>
      <c r="S28" s="9">
        <v>0</v>
      </c>
      <c r="T28" s="9">
        <v>0</v>
      </c>
      <c r="U28" s="124">
        <v>1107</v>
      </c>
    </row>
    <row r="29" spans="1:21" ht="114" x14ac:dyDescent="0.2">
      <c r="A29" s="127" t="s">
        <v>77</v>
      </c>
      <c r="B29" s="100">
        <v>0</v>
      </c>
      <c r="C29" s="44"/>
      <c r="D29" s="45">
        <v>236400</v>
      </c>
      <c r="E29" s="45">
        <v>236400</v>
      </c>
      <c r="F29" s="45">
        <v>236400</v>
      </c>
      <c r="G29" s="45">
        <v>261041</v>
      </c>
      <c r="H29" s="44"/>
      <c r="I29" s="45">
        <v>236250</v>
      </c>
      <c r="J29" s="45">
        <v>236250</v>
      </c>
      <c r="K29" s="45">
        <v>0</v>
      </c>
      <c r="L29" s="45">
        <v>0</v>
      </c>
      <c r="M29" s="45">
        <v>0</v>
      </c>
      <c r="N29" s="45">
        <v>0</v>
      </c>
      <c r="O29" s="44"/>
      <c r="P29" s="45">
        <v>236250</v>
      </c>
      <c r="Q29" s="45">
        <v>236250</v>
      </c>
      <c r="R29" s="45">
        <v>0</v>
      </c>
      <c r="S29" s="45">
        <v>0</v>
      </c>
      <c r="T29" s="45">
        <v>0</v>
      </c>
      <c r="U29" s="128">
        <v>1101</v>
      </c>
    </row>
    <row r="30" spans="1:21" ht="205.5" x14ac:dyDescent="0.2">
      <c r="A30" s="137" t="s">
        <v>101</v>
      </c>
      <c r="B30" s="101">
        <v>0</v>
      </c>
      <c r="C30" s="56"/>
      <c r="D30" s="57">
        <v>0</v>
      </c>
      <c r="E30" s="57">
        <v>0</v>
      </c>
      <c r="F30" s="57">
        <v>0</v>
      </c>
      <c r="G30" s="57">
        <v>0</v>
      </c>
      <c r="H30" s="56"/>
      <c r="I30" s="57">
        <v>0</v>
      </c>
      <c r="J30" s="57">
        <v>0</v>
      </c>
      <c r="K30" s="57">
        <v>67878</v>
      </c>
      <c r="L30" s="57">
        <v>67878</v>
      </c>
      <c r="M30" s="57">
        <v>67878</v>
      </c>
      <c r="N30" s="66">
        <v>15447.43</v>
      </c>
      <c r="O30" s="56"/>
      <c r="P30" s="57">
        <v>0</v>
      </c>
      <c r="Q30" s="57">
        <v>0</v>
      </c>
      <c r="R30" s="57">
        <v>67878</v>
      </c>
      <c r="S30" s="66">
        <v>72592</v>
      </c>
      <c r="T30" s="66">
        <v>72592</v>
      </c>
      <c r="U30" s="122">
        <v>1101</v>
      </c>
    </row>
    <row r="31" spans="1:21" ht="86.25" x14ac:dyDescent="0.2">
      <c r="A31" s="133" t="s">
        <v>37</v>
      </c>
      <c r="B31" s="99">
        <v>0</v>
      </c>
      <c r="C31" s="21"/>
      <c r="D31" s="9">
        <v>0</v>
      </c>
      <c r="E31" s="9">
        <v>0</v>
      </c>
      <c r="F31" s="9">
        <v>0</v>
      </c>
      <c r="G31" s="9">
        <v>0</v>
      </c>
      <c r="H31" s="21"/>
      <c r="I31" s="9">
        <v>0</v>
      </c>
      <c r="J31" s="9">
        <v>0</v>
      </c>
      <c r="K31" s="9">
        <v>72592</v>
      </c>
      <c r="L31" s="9">
        <v>72592</v>
      </c>
      <c r="M31" s="9">
        <v>72592</v>
      </c>
      <c r="N31" s="89">
        <v>32219.26</v>
      </c>
      <c r="O31" s="21"/>
      <c r="P31" s="9">
        <v>0</v>
      </c>
      <c r="Q31" s="9">
        <v>0</v>
      </c>
      <c r="R31" s="9">
        <v>72592</v>
      </c>
      <c r="S31" s="9">
        <v>72592</v>
      </c>
      <c r="T31" s="9">
        <v>72592</v>
      </c>
      <c r="U31" s="124">
        <v>1501</v>
      </c>
    </row>
    <row r="32" spans="1:21" ht="156.75" x14ac:dyDescent="0.2">
      <c r="A32" s="126" t="s">
        <v>38</v>
      </c>
      <c r="B32" s="99">
        <v>0</v>
      </c>
      <c r="C32" s="21"/>
      <c r="D32" s="9">
        <v>122000</v>
      </c>
      <c r="E32" s="9">
        <v>122000</v>
      </c>
      <c r="F32" s="9">
        <v>102438</v>
      </c>
      <c r="G32" s="9">
        <v>0</v>
      </c>
      <c r="H32" s="21"/>
      <c r="I32" s="9">
        <v>122000</v>
      </c>
      <c r="J32" s="9">
        <v>122000</v>
      </c>
      <c r="K32" s="9">
        <v>0</v>
      </c>
      <c r="L32" s="9">
        <v>0</v>
      </c>
      <c r="M32" s="9">
        <v>0</v>
      </c>
      <c r="N32" s="9">
        <v>0</v>
      </c>
      <c r="O32" s="21"/>
      <c r="P32" s="9">
        <v>122000</v>
      </c>
      <c r="Q32" s="9">
        <v>122000</v>
      </c>
      <c r="R32" s="9">
        <v>0</v>
      </c>
      <c r="S32" s="9">
        <v>0</v>
      </c>
      <c r="T32" s="9">
        <v>0</v>
      </c>
      <c r="U32" s="124">
        <v>1101</v>
      </c>
    </row>
    <row r="33" spans="1:26" ht="73.5" x14ac:dyDescent="0.2">
      <c r="A33" s="127" t="s">
        <v>78</v>
      </c>
      <c r="B33" s="100">
        <v>0</v>
      </c>
      <c r="C33" s="44"/>
      <c r="D33" s="45">
        <v>19110</v>
      </c>
      <c r="E33" s="45">
        <v>19110</v>
      </c>
      <c r="F33" s="45">
        <v>19110</v>
      </c>
      <c r="G33" s="45">
        <v>17332</v>
      </c>
      <c r="H33" s="44"/>
      <c r="I33" s="45">
        <v>19110</v>
      </c>
      <c r="J33" s="45">
        <v>19110</v>
      </c>
      <c r="K33" s="45">
        <v>0</v>
      </c>
      <c r="L33" s="45">
        <v>0</v>
      </c>
      <c r="M33" s="45">
        <v>0</v>
      </c>
      <c r="N33" s="45">
        <v>0</v>
      </c>
      <c r="O33" s="44"/>
      <c r="P33" s="45">
        <v>19110</v>
      </c>
      <c r="Q33" s="45">
        <v>19110</v>
      </c>
      <c r="R33" s="45">
        <v>0</v>
      </c>
      <c r="S33" s="45">
        <v>0</v>
      </c>
      <c r="T33" s="45">
        <v>0</v>
      </c>
      <c r="U33" s="128">
        <v>1103</v>
      </c>
    </row>
    <row r="34" spans="1:26" ht="288" x14ac:dyDescent="0.2">
      <c r="A34" s="137" t="s">
        <v>129</v>
      </c>
      <c r="B34" s="101">
        <v>0</v>
      </c>
      <c r="C34" s="56"/>
      <c r="D34" s="57">
        <v>0</v>
      </c>
      <c r="E34" s="57">
        <v>0</v>
      </c>
      <c r="F34" s="57">
        <v>0</v>
      </c>
      <c r="G34" s="57">
        <v>0</v>
      </c>
      <c r="H34" s="56"/>
      <c r="I34" s="57">
        <v>0</v>
      </c>
      <c r="J34" s="57">
        <v>0</v>
      </c>
      <c r="K34" s="57">
        <v>58800</v>
      </c>
      <c r="L34" s="57">
        <v>58800</v>
      </c>
      <c r="M34" s="57">
        <v>58800</v>
      </c>
      <c r="N34" s="57">
        <v>58800</v>
      </c>
      <c r="O34" s="56"/>
      <c r="P34" s="57">
        <v>0</v>
      </c>
      <c r="Q34" s="57">
        <v>0</v>
      </c>
      <c r="R34" s="57">
        <v>58800</v>
      </c>
      <c r="S34" s="57">
        <v>58800</v>
      </c>
      <c r="T34" s="171">
        <v>96300</v>
      </c>
      <c r="U34" s="122" t="s">
        <v>73</v>
      </c>
      <c r="Z34" s="180"/>
    </row>
    <row r="35" spans="1:26" ht="85.5" x14ac:dyDescent="0.2">
      <c r="A35" s="126" t="s">
        <v>39</v>
      </c>
      <c r="B35" s="99">
        <v>0</v>
      </c>
      <c r="C35" s="21"/>
      <c r="D35" s="9">
        <v>105455</v>
      </c>
      <c r="E35" s="9">
        <v>122500</v>
      </c>
      <c r="F35" s="9">
        <v>122500</v>
      </c>
      <c r="G35" s="9">
        <v>65800</v>
      </c>
      <c r="H35" s="21"/>
      <c r="I35" s="9">
        <v>63512</v>
      </c>
      <c r="J35" s="9">
        <v>73500</v>
      </c>
      <c r="K35" s="9">
        <v>120000</v>
      </c>
      <c r="L35" s="9">
        <v>120000</v>
      </c>
      <c r="M35" s="9">
        <v>120000</v>
      </c>
      <c r="N35" s="9">
        <v>0</v>
      </c>
      <c r="O35" s="21"/>
      <c r="P35" s="9">
        <v>63512</v>
      </c>
      <c r="Q35" s="9">
        <v>73500</v>
      </c>
      <c r="R35" s="9">
        <v>120000</v>
      </c>
      <c r="S35" s="89">
        <v>0</v>
      </c>
      <c r="T35" s="89">
        <v>0</v>
      </c>
      <c r="U35" s="124">
        <v>1101</v>
      </c>
    </row>
    <row r="36" spans="1:26" ht="85.5" x14ac:dyDescent="0.2">
      <c r="A36" s="138" t="s">
        <v>40</v>
      </c>
      <c r="B36" s="100">
        <v>0</v>
      </c>
      <c r="C36" s="44"/>
      <c r="D36" s="45">
        <v>161284</v>
      </c>
      <c r="E36" s="45">
        <v>161284</v>
      </c>
      <c r="F36" s="45">
        <v>161284</v>
      </c>
      <c r="G36" s="45">
        <v>0</v>
      </c>
      <c r="H36" s="44"/>
      <c r="I36" s="45">
        <v>161284</v>
      </c>
      <c r="J36" s="45">
        <v>161284</v>
      </c>
      <c r="K36" s="45">
        <v>0</v>
      </c>
      <c r="L36" s="45">
        <v>0</v>
      </c>
      <c r="M36" s="45">
        <v>0</v>
      </c>
      <c r="N36" s="45"/>
      <c r="O36" s="44"/>
      <c r="P36" s="45">
        <v>161284</v>
      </c>
      <c r="Q36" s="45">
        <v>161284</v>
      </c>
      <c r="R36" s="45">
        <v>0</v>
      </c>
      <c r="S36" s="45">
        <v>0</v>
      </c>
      <c r="T36" s="45">
        <v>0</v>
      </c>
      <c r="U36" s="128" t="s">
        <v>74</v>
      </c>
    </row>
    <row r="37" spans="1:26" ht="235.5" customHeight="1" x14ac:dyDescent="0.2">
      <c r="A37" s="139" t="s">
        <v>120</v>
      </c>
      <c r="B37" s="101">
        <v>0</v>
      </c>
      <c r="C37" s="56"/>
      <c r="D37" s="57">
        <v>0</v>
      </c>
      <c r="E37" s="57">
        <v>0</v>
      </c>
      <c r="F37" s="57">
        <v>0</v>
      </c>
      <c r="G37" s="57">
        <v>196963.45</v>
      </c>
      <c r="H37" s="56"/>
      <c r="I37" s="57">
        <v>0</v>
      </c>
      <c r="J37" s="57">
        <v>0</v>
      </c>
      <c r="K37" s="57">
        <v>230400</v>
      </c>
      <c r="L37" s="57">
        <v>230400</v>
      </c>
      <c r="M37" s="57">
        <v>230400</v>
      </c>
      <c r="N37" s="57">
        <v>220439.1</v>
      </c>
      <c r="O37" s="56"/>
      <c r="P37" s="57">
        <v>0</v>
      </c>
      <c r="Q37" s="57">
        <v>0</v>
      </c>
      <c r="R37" s="57">
        <v>230400</v>
      </c>
      <c r="S37" s="57">
        <v>230400</v>
      </c>
      <c r="T37" s="171">
        <v>172800</v>
      </c>
      <c r="U37" s="122" t="s">
        <v>74</v>
      </c>
    </row>
    <row r="38" spans="1:26" ht="333" customHeight="1" x14ac:dyDescent="0.2">
      <c r="A38" s="174" t="s">
        <v>121</v>
      </c>
      <c r="B38" s="99">
        <v>0</v>
      </c>
      <c r="C38" s="21"/>
      <c r="D38" s="9">
        <v>0</v>
      </c>
      <c r="E38" s="9">
        <v>91869</v>
      </c>
      <c r="F38" s="9">
        <v>91869</v>
      </c>
      <c r="G38" s="9">
        <v>95288.51</v>
      </c>
      <c r="H38" s="21"/>
      <c r="I38" s="9">
        <v>0</v>
      </c>
      <c r="J38" s="9">
        <v>91869</v>
      </c>
      <c r="K38" s="9">
        <v>0</v>
      </c>
      <c r="L38" s="9">
        <v>0</v>
      </c>
      <c r="M38" s="9">
        <v>0</v>
      </c>
      <c r="N38" s="9">
        <v>0</v>
      </c>
      <c r="O38" s="21"/>
      <c r="P38" s="9">
        <v>0</v>
      </c>
      <c r="Q38" s="9">
        <v>91869</v>
      </c>
      <c r="R38" s="9">
        <v>0</v>
      </c>
      <c r="S38" s="89">
        <v>79696</v>
      </c>
      <c r="T38" s="92">
        <v>0</v>
      </c>
      <c r="U38" s="124">
        <v>1301</v>
      </c>
    </row>
    <row r="39" spans="1:26" ht="129" x14ac:dyDescent="0.2">
      <c r="A39" s="140" t="s">
        <v>117</v>
      </c>
      <c r="B39" s="99">
        <v>0</v>
      </c>
      <c r="C39" s="21"/>
      <c r="D39" s="9">
        <v>0</v>
      </c>
      <c r="E39" s="9">
        <v>0</v>
      </c>
      <c r="F39" s="9">
        <v>0</v>
      </c>
      <c r="G39" s="9">
        <v>0</v>
      </c>
      <c r="H39" s="21"/>
      <c r="I39" s="9">
        <v>0</v>
      </c>
      <c r="J39" s="9">
        <v>0</v>
      </c>
      <c r="K39" s="9"/>
      <c r="L39" s="9">
        <v>10359</v>
      </c>
      <c r="M39" s="9">
        <v>10359</v>
      </c>
      <c r="N39" s="89">
        <v>2800.65</v>
      </c>
      <c r="O39" s="21"/>
      <c r="P39" s="9">
        <v>0</v>
      </c>
      <c r="Q39" s="9">
        <v>0</v>
      </c>
      <c r="R39" s="9">
        <v>0</v>
      </c>
      <c r="S39" s="89">
        <v>38713</v>
      </c>
      <c r="T39" s="89">
        <v>38713</v>
      </c>
      <c r="U39" s="124">
        <v>1501</v>
      </c>
    </row>
    <row r="40" spans="1:26" ht="115.5" x14ac:dyDescent="0.2">
      <c r="A40" s="140" t="s">
        <v>112</v>
      </c>
      <c r="B40" s="99">
        <v>0</v>
      </c>
      <c r="C40" s="21"/>
      <c r="D40" s="9">
        <v>0</v>
      </c>
      <c r="E40" s="9">
        <v>0</v>
      </c>
      <c r="F40" s="9">
        <v>0</v>
      </c>
      <c r="G40" s="9">
        <v>0</v>
      </c>
      <c r="H40" s="21"/>
      <c r="I40" s="9">
        <v>0</v>
      </c>
      <c r="J40" s="9">
        <v>0</v>
      </c>
      <c r="K40" s="9"/>
      <c r="L40" s="9">
        <v>43556</v>
      </c>
      <c r="M40" s="9">
        <v>43556</v>
      </c>
      <c r="N40" s="89">
        <v>16286.19</v>
      </c>
      <c r="O40" s="21"/>
      <c r="P40" s="9">
        <v>0</v>
      </c>
      <c r="Q40" s="9">
        <v>0</v>
      </c>
      <c r="R40" s="9"/>
      <c r="S40" s="89">
        <v>43556</v>
      </c>
      <c r="T40" s="89">
        <v>43556</v>
      </c>
      <c r="U40" s="124">
        <v>1601</v>
      </c>
    </row>
    <row r="41" spans="1:26" ht="72.75" thickBot="1" x14ac:dyDescent="0.25">
      <c r="A41" s="141" t="s">
        <v>102</v>
      </c>
      <c r="B41" s="100">
        <v>0</v>
      </c>
      <c r="C41" s="44"/>
      <c r="D41" s="45">
        <v>0</v>
      </c>
      <c r="E41" s="45">
        <v>0</v>
      </c>
      <c r="F41" s="45">
        <v>0</v>
      </c>
      <c r="G41" s="45">
        <v>0</v>
      </c>
      <c r="H41" s="44"/>
      <c r="I41" s="45">
        <v>0</v>
      </c>
      <c r="J41" s="45">
        <v>0</v>
      </c>
      <c r="K41" s="45">
        <v>0</v>
      </c>
      <c r="L41" s="45">
        <v>0</v>
      </c>
      <c r="M41" s="45">
        <v>0</v>
      </c>
      <c r="N41" s="45">
        <v>0</v>
      </c>
      <c r="O41" s="44"/>
      <c r="P41" s="45">
        <v>0</v>
      </c>
      <c r="Q41" s="45">
        <v>0</v>
      </c>
      <c r="R41" s="45">
        <v>0</v>
      </c>
      <c r="S41" s="90">
        <v>36297</v>
      </c>
      <c r="T41" s="90">
        <v>36297</v>
      </c>
      <c r="U41" s="128">
        <v>1201</v>
      </c>
    </row>
    <row r="42" spans="1:26" ht="30" customHeight="1" thickBot="1" x14ac:dyDescent="0.25">
      <c r="A42" s="116" t="s">
        <v>18</v>
      </c>
      <c r="B42" s="102">
        <f>SUM(B10:B41)</f>
        <v>0</v>
      </c>
      <c r="C42" s="24"/>
      <c r="D42" s="14">
        <f>SUM(D10:D40)</f>
        <v>1256979</v>
      </c>
      <c r="E42" s="14">
        <f>SUM(E10:E40)</f>
        <v>1365893</v>
      </c>
      <c r="F42" s="14">
        <f>SUM(F10:F40)</f>
        <v>1346331</v>
      </c>
      <c r="G42" s="14">
        <f>SUM(G10:G40)</f>
        <v>1133451.96</v>
      </c>
      <c r="H42" s="24"/>
      <c r="I42" s="14">
        <f t="shared" ref="I42:N42" si="0">SUM(I10:I40)</f>
        <v>1250552</v>
      </c>
      <c r="J42" s="14">
        <f t="shared" si="0"/>
        <v>1352409</v>
      </c>
      <c r="K42" s="14">
        <f t="shared" si="0"/>
        <v>1119226</v>
      </c>
      <c r="L42" s="14">
        <f t="shared" si="0"/>
        <v>1201546</v>
      </c>
      <c r="M42" s="14">
        <f t="shared" si="0"/>
        <v>1201546</v>
      </c>
      <c r="N42" s="14">
        <f t="shared" si="0"/>
        <v>901004.15</v>
      </c>
      <c r="O42" s="24"/>
      <c r="P42" s="14">
        <f>SUM(P10:P40)</f>
        <v>1250552</v>
      </c>
      <c r="Q42" s="50">
        <f>SUM(Q10:Q40)</f>
        <v>1352409</v>
      </c>
      <c r="R42" s="14">
        <f>SUM(R10:R40)</f>
        <v>1119226</v>
      </c>
      <c r="S42" s="14">
        <f>SUM(S10:S41)</f>
        <v>1316290</v>
      </c>
      <c r="T42" s="14">
        <f>SUM(T10:T41)</f>
        <v>1179531</v>
      </c>
      <c r="U42" s="64" t="s">
        <v>2</v>
      </c>
    </row>
    <row r="43" spans="1:26" ht="72" x14ac:dyDescent="0.2">
      <c r="A43" s="142" t="s">
        <v>114</v>
      </c>
      <c r="B43" s="103">
        <v>0</v>
      </c>
      <c r="C43" s="22"/>
      <c r="D43" s="10">
        <v>19421</v>
      </c>
      <c r="E43" s="10">
        <v>24677</v>
      </c>
      <c r="F43" s="10">
        <v>22661</v>
      </c>
      <c r="G43" s="10">
        <v>22661.119999999999</v>
      </c>
      <c r="H43" s="22"/>
      <c r="I43" s="10">
        <v>19421</v>
      </c>
      <c r="J43" s="10">
        <v>24677</v>
      </c>
      <c r="K43" s="10">
        <v>45866</v>
      </c>
      <c r="L43" s="10">
        <v>45866</v>
      </c>
      <c r="M43" s="10">
        <v>45866</v>
      </c>
      <c r="N43" s="67">
        <f>40242.16+1085.18</f>
        <v>41327.340000000004</v>
      </c>
      <c r="O43" s="22"/>
      <c r="P43" s="10">
        <v>19421</v>
      </c>
      <c r="Q43" s="10">
        <v>24677</v>
      </c>
      <c r="R43" s="57">
        <v>45866</v>
      </c>
      <c r="S43" s="57">
        <v>45866</v>
      </c>
      <c r="T43" s="171">
        <f>45866+4090+4090</f>
        <v>54046</v>
      </c>
      <c r="U43" s="122">
        <v>2301</v>
      </c>
    </row>
    <row r="44" spans="1:26" ht="142.5" x14ac:dyDescent="0.2">
      <c r="A44" s="143" t="s">
        <v>131</v>
      </c>
      <c r="B44" s="99">
        <v>0</v>
      </c>
      <c r="C44" s="21"/>
      <c r="D44" s="9">
        <v>0</v>
      </c>
      <c r="E44" s="9">
        <v>0</v>
      </c>
      <c r="F44" s="9">
        <v>0</v>
      </c>
      <c r="G44" s="9">
        <v>0</v>
      </c>
      <c r="H44" s="21"/>
      <c r="I44" s="9">
        <v>0</v>
      </c>
      <c r="J44" s="9">
        <v>0</v>
      </c>
      <c r="K44" s="9">
        <v>10102</v>
      </c>
      <c r="L44" s="9">
        <v>10102</v>
      </c>
      <c r="M44" s="9">
        <v>10102</v>
      </c>
      <c r="N44" s="172">
        <v>17796.28</v>
      </c>
      <c r="O44" s="21"/>
      <c r="P44" s="9">
        <v>0</v>
      </c>
      <c r="Q44" s="16">
        <v>0</v>
      </c>
      <c r="R44" s="9">
        <v>10102</v>
      </c>
      <c r="S44" s="89">
        <f>10102+10102</f>
        <v>20204</v>
      </c>
      <c r="T44" s="92">
        <f>10102+10102+4833</f>
        <v>25037</v>
      </c>
      <c r="U44" s="124">
        <v>2903</v>
      </c>
    </row>
    <row r="45" spans="1:26" ht="114" x14ac:dyDescent="0.2">
      <c r="A45" s="143" t="s">
        <v>103</v>
      </c>
      <c r="B45" s="99">
        <v>0</v>
      </c>
      <c r="C45" s="21"/>
      <c r="D45" s="9">
        <v>5452</v>
      </c>
      <c r="E45" s="9">
        <v>5452</v>
      </c>
      <c r="F45" s="9">
        <v>5826</v>
      </c>
      <c r="G45" s="9">
        <v>5826.06</v>
      </c>
      <c r="H45" s="21"/>
      <c r="I45" s="9">
        <v>4400</v>
      </c>
      <c r="J45" s="9">
        <v>4400</v>
      </c>
      <c r="K45" s="9">
        <v>4400</v>
      </c>
      <c r="L45" s="9">
        <f>4400+5600</f>
        <v>10000</v>
      </c>
      <c r="M45" s="9">
        <f>4400+5600</f>
        <v>10000</v>
      </c>
      <c r="N45" s="89">
        <v>4507.5</v>
      </c>
      <c r="O45" s="21"/>
      <c r="P45" s="9">
        <v>4400</v>
      </c>
      <c r="Q45" s="16">
        <v>4400</v>
      </c>
      <c r="R45" s="9">
        <v>4400</v>
      </c>
      <c r="S45" s="89">
        <f>4400+5600</f>
        <v>10000</v>
      </c>
      <c r="T45" s="92">
        <f>4400+7600</f>
        <v>12000</v>
      </c>
      <c r="U45" s="124">
        <v>2302</v>
      </c>
    </row>
    <row r="46" spans="1:26" ht="85.5" customHeight="1" x14ac:dyDescent="0.2">
      <c r="A46" s="143" t="s">
        <v>104</v>
      </c>
      <c r="B46" s="99">
        <v>0</v>
      </c>
      <c r="C46" s="21"/>
      <c r="D46" s="9">
        <v>4350</v>
      </c>
      <c r="E46" s="9">
        <v>4350</v>
      </c>
      <c r="F46" s="9">
        <v>7882</v>
      </c>
      <c r="G46" s="9">
        <v>7881.45</v>
      </c>
      <c r="H46" s="21"/>
      <c r="I46" s="9">
        <v>4350</v>
      </c>
      <c r="J46" s="9">
        <v>4350</v>
      </c>
      <c r="K46" s="9">
        <v>4350</v>
      </c>
      <c r="L46" s="9">
        <f>4350+5650</f>
        <v>10000</v>
      </c>
      <c r="M46" s="9">
        <f>4350+5650</f>
        <v>10000</v>
      </c>
      <c r="N46" s="89">
        <v>4492.83</v>
      </c>
      <c r="O46" s="21"/>
      <c r="P46" s="9">
        <v>4350</v>
      </c>
      <c r="Q46" s="16">
        <v>4350</v>
      </c>
      <c r="R46" s="9">
        <v>4350</v>
      </c>
      <c r="S46" s="89">
        <f>4350+5650</f>
        <v>10000</v>
      </c>
      <c r="T46" s="92">
        <f>4350+13650</f>
        <v>18000</v>
      </c>
      <c r="U46" s="124">
        <v>2402</v>
      </c>
    </row>
    <row r="47" spans="1:26" ht="121.5" customHeight="1" x14ac:dyDescent="0.2">
      <c r="A47" s="143" t="s">
        <v>130</v>
      </c>
      <c r="B47" s="99">
        <v>0</v>
      </c>
      <c r="C47" s="21"/>
      <c r="D47" s="9">
        <v>0</v>
      </c>
      <c r="E47" s="9">
        <v>0</v>
      </c>
      <c r="F47" s="9">
        <v>0</v>
      </c>
      <c r="G47" s="9">
        <v>0</v>
      </c>
      <c r="H47" s="21"/>
      <c r="I47" s="9">
        <v>0</v>
      </c>
      <c r="J47" s="9">
        <v>0</v>
      </c>
      <c r="K47" s="9">
        <v>14729</v>
      </c>
      <c r="L47" s="9">
        <v>14729</v>
      </c>
      <c r="M47" s="9">
        <v>14729</v>
      </c>
      <c r="N47" s="89">
        <v>7728.9</v>
      </c>
      <c r="O47" s="21"/>
      <c r="P47" s="9">
        <v>0</v>
      </c>
      <c r="Q47" s="16">
        <v>0</v>
      </c>
      <c r="R47" s="9">
        <v>14729</v>
      </c>
      <c r="S47" s="89">
        <f>14729+14729</f>
        <v>29458</v>
      </c>
      <c r="T47" s="92">
        <f>14729+14729+3716</f>
        <v>33174</v>
      </c>
      <c r="U47" s="124">
        <v>2903</v>
      </c>
    </row>
    <row r="48" spans="1:26" ht="101.25" x14ac:dyDescent="0.2">
      <c r="A48" s="144" t="s">
        <v>41</v>
      </c>
      <c r="B48" s="99">
        <v>0</v>
      </c>
      <c r="C48" s="21"/>
      <c r="D48" s="9">
        <v>0</v>
      </c>
      <c r="E48" s="9">
        <v>0</v>
      </c>
      <c r="F48" s="9">
        <v>0</v>
      </c>
      <c r="G48" s="9">
        <v>0</v>
      </c>
      <c r="H48" s="21"/>
      <c r="I48" s="9">
        <v>0</v>
      </c>
      <c r="J48" s="9">
        <v>0</v>
      </c>
      <c r="K48" s="9">
        <v>3600</v>
      </c>
      <c r="L48" s="9">
        <v>3600</v>
      </c>
      <c r="M48" s="9">
        <v>3600</v>
      </c>
      <c r="N48" s="9">
        <v>0</v>
      </c>
      <c r="O48" s="21"/>
      <c r="P48" s="9">
        <v>0</v>
      </c>
      <c r="Q48" s="16">
        <v>0</v>
      </c>
      <c r="R48" s="9">
        <v>3600</v>
      </c>
      <c r="S48" s="9">
        <v>3600</v>
      </c>
      <c r="T48" s="92">
        <v>1200</v>
      </c>
      <c r="U48" s="124">
        <v>2000</v>
      </c>
    </row>
    <row r="49" spans="1:22" ht="117.75" thickBot="1" x14ac:dyDescent="0.25">
      <c r="A49" s="145" t="s">
        <v>118</v>
      </c>
      <c r="B49" s="104">
        <v>0</v>
      </c>
      <c r="C49" s="23"/>
      <c r="D49" s="11">
        <v>0</v>
      </c>
      <c r="E49" s="11">
        <v>0</v>
      </c>
      <c r="F49" s="11">
        <v>0</v>
      </c>
      <c r="G49" s="11">
        <v>0</v>
      </c>
      <c r="H49" s="23"/>
      <c r="I49" s="11">
        <v>0</v>
      </c>
      <c r="J49" s="11">
        <v>0</v>
      </c>
      <c r="K49" s="11">
        <v>3000</v>
      </c>
      <c r="L49" s="11">
        <v>3000</v>
      </c>
      <c r="M49" s="11">
        <v>3000</v>
      </c>
      <c r="N49" s="11">
        <f>5818.15+283.91+145.71</f>
        <v>6247.7699999999995</v>
      </c>
      <c r="O49" s="23"/>
      <c r="P49" s="11">
        <v>0</v>
      </c>
      <c r="Q49" s="11">
        <v>0</v>
      </c>
      <c r="R49" s="45">
        <v>3000</v>
      </c>
      <c r="S49" s="45">
        <v>3000</v>
      </c>
      <c r="T49" s="94">
        <v>6250</v>
      </c>
      <c r="U49" s="128">
        <v>2303</v>
      </c>
    </row>
    <row r="50" spans="1:22" ht="28.5" customHeight="1" thickBot="1" x14ac:dyDescent="0.25">
      <c r="A50" s="116" t="s">
        <v>19</v>
      </c>
      <c r="B50" s="102">
        <f>SUM(B43:B49)</f>
        <v>0</v>
      </c>
      <c r="C50" s="24"/>
      <c r="D50" s="14">
        <f>SUM(D43:D49)</f>
        <v>29223</v>
      </c>
      <c r="E50" s="14">
        <f>SUM(E43:E49)</f>
        <v>34479</v>
      </c>
      <c r="F50" s="14">
        <f>SUM(F43:F49)</f>
        <v>36369</v>
      </c>
      <c r="G50" s="14">
        <f>SUM(G43:G49)</f>
        <v>36368.629999999997</v>
      </c>
      <c r="H50" s="24"/>
      <c r="I50" s="14">
        <f t="shared" ref="I50:N50" si="1">SUM(I43:I49)</f>
        <v>28171</v>
      </c>
      <c r="J50" s="14">
        <f t="shared" si="1"/>
        <v>33427</v>
      </c>
      <c r="K50" s="14">
        <f t="shared" si="1"/>
        <v>86047</v>
      </c>
      <c r="L50" s="14">
        <f t="shared" si="1"/>
        <v>97297</v>
      </c>
      <c r="M50" s="14">
        <f t="shared" si="1"/>
        <v>97297</v>
      </c>
      <c r="N50" s="14">
        <f t="shared" si="1"/>
        <v>82100.62</v>
      </c>
      <c r="O50" s="24"/>
      <c r="P50" s="14">
        <f>SUM(P43:P49)</f>
        <v>28171</v>
      </c>
      <c r="Q50" s="14">
        <f>SUM(Q43:Q49)</f>
        <v>33427</v>
      </c>
      <c r="R50" s="14">
        <f>SUM(R43:R49)</f>
        <v>86047</v>
      </c>
      <c r="S50" s="14">
        <f>SUM(S43:S49)</f>
        <v>122128</v>
      </c>
      <c r="T50" s="14">
        <f>SUM(T43:T49)</f>
        <v>149707</v>
      </c>
      <c r="U50" s="43" t="s">
        <v>3</v>
      </c>
    </row>
    <row r="51" spans="1:22" ht="14.25" x14ac:dyDescent="0.2">
      <c r="A51" s="146" t="s">
        <v>42</v>
      </c>
      <c r="B51" s="96">
        <v>0</v>
      </c>
      <c r="C51" s="20"/>
      <c r="D51" s="12">
        <v>0</v>
      </c>
      <c r="E51" s="12">
        <v>0</v>
      </c>
      <c r="F51" s="12">
        <v>0</v>
      </c>
      <c r="G51" s="12">
        <v>0</v>
      </c>
      <c r="H51" s="20"/>
      <c r="I51" s="12">
        <v>0</v>
      </c>
      <c r="J51" s="12">
        <v>0</v>
      </c>
      <c r="K51" s="12">
        <v>696</v>
      </c>
      <c r="L51" s="12">
        <v>696</v>
      </c>
      <c r="M51" s="12">
        <v>696</v>
      </c>
      <c r="N51" s="12">
        <v>348</v>
      </c>
      <c r="O51" s="20"/>
      <c r="P51" s="12">
        <v>0</v>
      </c>
      <c r="Q51" s="12">
        <v>0</v>
      </c>
      <c r="R51" s="12">
        <v>696</v>
      </c>
      <c r="S51" s="12">
        <v>0</v>
      </c>
      <c r="T51" s="12">
        <v>0</v>
      </c>
      <c r="U51" s="122">
        <v>3000</v>
      </c>
    </row>
    <row r="52" spans="1:22" ht="14.25" x14ac:dyDescent="0.2">
      <c r="A52" s="147" t="s">
        <v>43</v>
      </c>
      <c r="B52" s="96">
        <v>0</v>
      </c>
      <c r="C52" s="20"/>
      <c r="D52" s="12">
        <v>0</v>
      </c>
      <c r="E52" s="12">
        <v>0</v>
      </c>
      <c r="F52" s="12">
        <v>0</v>
      </c>
      <c r="G52" s="12">
        <v>0</v>
      </c>
      <c r="H52" s="20"/>
      <c r="I52" s="12">
        <v>0</v>
      </c>
      <c r="J52" s="12">
        <v>0</v>
      </c>
      <c r="K52" s="12">
        <v>1392</v>
      </c>
      <c r="L52" s="12">
        <v>1392</v>
      </c>
      <c r="M52" s="12">
        <v>1392</v>
      </c>
      <c r="N52" s="12">
        <v>351.44</v>
      </c>
      <c r="O52" s="20"/>
      <c r="P52" s="12">
        <v>0</v>
      </c>
      <c r="Q52" s="12">
        <v>0</v>
      </c>
      <c r="R52" s="12">
        <v>1392</v>
      </c>
      <c r="S52" s="34">
        <v>0</v>
      </c>
      <c r="T52" s="34">
        <v>0</v>
      </c>
      <c r="U52" s="124">
        <v>3000</v>
      </c>
    </row>
    <row r="53" spans="1:22" ht="14.25" x14ac:dyDescent="0.2">
      <c r="A53" s="148" t="s">
        <v>86</v>
      </c>
      <c r="B53" s="96">
        <v>0</v>
      </c>
      <c r="C53" s="20"/>
      <c r="D53" s="12">
        <v>0</v>
      </c>
      <c r="E53" s="12">
        <v>0</v>
      </c>
      <c r="F53" s="12">
        <v>0</v>
      </c>
      <c r="G53" s="12">
        <v>0</v>
      </c>
      <c r="H53" s="20"/>
      <c r="I53" s="12">
        <v>0</v>
      </c>
      <c r="J53" s="12">
        <v>0</v>
      </c>
      <c r="K53" s="12">
        <v>0</v>
      </c>
      <c r="L53" s="12">
        <v>0</v>
      </c>
      <c r="M53" s="12">
        <v>0</v>
      </c>
      <c r="N53" s="12">
        <v>0</v>
      </c>
      <c r="O53" s="20"/>
      <c r="P53" s="12">
        <v>0</v>
      </c>
      <c r="Q53" s="12">
        <v>0</v>
      </c>
      <c r="R53" s="12">
        <v>0</v>
      </c>
      <c r="S53" s="34">
        <v>26362</v>
      </c>
      <c r="T53" s="93">
        <v>26362</v>
      </c>
      <c r="U53" s="124">
        <v>3000</v>
      </c>
    </row>
    <row r="54" spans="1:22" ht="14.25" x14ac:dyDescent="0.2">
      <c r="A54" s="148" t="s">
        <v>44</v>
      </c>
      <c r="B54" s="96">
        <v>0</v>
      </c>
      <c r="C54" s="20"/>
      <c r="D54" s="12">
        <v>0</v>
      </c>
      <c r="E54" s="12">
        <v>0</v>
      </c>
      <c r="F54" s="12">
        <v>0</v>
      </c>
      <c r="G54" s="12">
        <v>0</v>
      </c>
      <c r="H54" s="20"/>
      <c r="I54" s="12">
        <v>0</v>
      </c>
      <c r="J54" s="12">
        <v>0</v>
      </c>
      <c r="K54" s="12">
        <v>52222</v>
      </c>
      <c r="L54" s="12">
        <v>52222</v>
      </c>
      <c r="M54" s="12">
        <v>52222</v>
      </c>
      <c r="N54" s="12">
        <f>48445.4+3085</f>
        <v>51530.400000000001</v>
      </c>
      <c r="O54" s="20"/>
      <c r="P54" s="12">
        <v>0</v>
      </c>
      <c r="Q54" s="12">
        <v>0</v>
      </c>
      <c r="R54" s="12">
        <v>52222</v>
      </c>
      <c r="S54" s="34">
        <v>52222</v>
      </c>
      <c r="T54" s="34">
        <v>52222</v>
      </c>
      <c r="U54" s="124">
        <v>3000</v>
      </c>
    </row>
    <row r="55" spans="1:22" ht="14.25" x14ac:dyDescent="0.2">
      <c r="A55" s="147" t="s">
        <v>45</v>
      </c>
      <c r="B55" s="96">
        <v>0</v>
      </c>
      <c r="C55" s="20"/>
      <c r="D55" s="12">
        <v>0</v>
      </c>
      <c r="E55" s="12">
        <v>0</v>
      </c>
      <c r="F55" s="12">
        <v>0</v>
      </c>
      <c r="G55" s="12">
        <v>0</v>
      </c>
      <c r="H55" s="20"/>
      <c r="I55" s="12">
        <v>0</v>
      </c>
      <c r="J55" s="12">
        <v>0</v>
      </c>
      <c r="K55" s="12">
        <v>77649</v>
      </c>
      <c r="L55" s="12">
        <v>77649</v>
      </c>
      <c r="M55" s="12">
        <v>77649</v>
      </c>
      <c r="N55" s="12">
        <f>70610.3+4627</f>
        <v>75237.3</v>
      </c>
      <c r="O55" s="20"/>
      <c r="P55" s="12">
        <v>0</v>
      </c>
      <c r="Q55" s="12">
        <v>0</v>
      </c>
      <c r="R55" s="12">
        <v>77649</v>
      </c>
      <c r="S55" s="34">
        <v>77649</v>
      </c>
      <c r="T55" s="34">
        <v>77649</v>
      </c>
      <c r="U55" s="124">
        <v>3000</v>
      </c>
    </row>
    <row r="56" spans="1:22" ht="14.25" x14ac:dyDescent="0.2">
      <c r="A56" s="147" t="s">
        <v>46</v>
      </c>
      <c r="B56" s="96">
        <v>0</v>
      </c>
      <c r="C56" s="20"/>
      <c r="D56" s="12">
        <v>0</v>
      </c>
      <c r="E56" s="12">
        <v>0</v>
      </c>
      <c r="F56" s="12">
        <v>0</v>
      </c>
      <c r="G56" s="12">
        <v>0</v>
      </c>
      <c r="H56" s="20"/>
      <c r="I56" s="12">
        <v>0</v>
      </c>
      <c r="J56" s="12">
        <v>0</v>
      </c>
      <c r="K56" s="12">
        <v>2088</v>
      </c>
      <c r="L56" s="12">
        <v>2088</v>
      </c>
      <c r="M56" s="12">
        <v>2088</v>
      </c>
      <c r="N56" s="12">
        <v>699.45</v>
      </c>
      <c r="O56" s="20"/>
      <c r="P56" s="12">
        <v>0</v>
      </c>
      <c r="Q56" s="12">
        <v>0</v>
      </c>
      <c r="R56" s="12">
        <v>2088</v>
      </c>
      <c r="S56" s="34">
        <f>2088+1392</f>
        <v>3480</v>
      </c>
      <c r="T56" s="34">
        <f>2088+1392</f>
        <v>3480</v>
      </c>
      <c r="U56" s="124">
        <v>3000</v>
      </c>
    </row>
    <row r="57" spans="1:22" ht="14.25" x14ac:dyDescent="0.2">
      <c r="A57" s="147" t="s">
        <v>47</v>
      </c>
      <c r="B57" s="96">
        <v>0</v>
      </c>
      <c r="C57" s="20"/>
      <c r="D57" s="12">
        <v>0</v>
      </c>
      <c r="E57" s="12">
        <v>0</v>
      </c>
      <c r="F57" s="12">
        <v>0</v>
      </c>
      <c r="G57" s="12">
        <v>0</v>
      </c>
      <c r="H57" s="20"/>
      <c r="I57" s="12">
        <v>0</v>
      </c>
      <c r="J57" s="12">
        <v>0</v>
      </c>
      <c r="K57" s="12">
        <v>6305</v>
      </c>
      <c r="L57" s="12">
        <v>6305</v>
      </c>
      <c r="M57" s="12">
        <v>6305</v>
      </c>
      <c r="N57" s="12">
        <v>3559</v>
      </c>
      <c r="O57" s="20"/>
      <c r="P57" s="12">
        <v>0</v>
      </c>
      <c r="Q57" s="12">
        <v>0</v>
      </c>
      <c r="R57" s="12">
        <v>6305</v>
      </c>
      <c r="S57" s="34">
        <v>6305</v>
      </c>
      <c r="T57" s="176">
        <v>1682</v>
      </c>
      <c r="U57" s="124">
        <v>3000</v>
      </c>
    </row>
    <row r="58" spans="1:22" ht="14.25" x14ac:dyDescent="0.2">
      <c r="A58" s="147" t="s">
        <v>48</v>
      </c>
      <c r="B58" s="96">
        <v>0</v>
      </c>
      <c r="C58" s="20"/>
      <c r="D58" s="12">
        <v>0</v>
      </c>
      <c r="E58" s="12">
        <v>0</v>
      </c>
      <c r="F58" s="12">
        <v>0</v>
      </c>
      <c r="G58" s="12">
        <v>0</v>
      </c>
      <c r="H58" s="20"/>
      <c r="I58" s="12">
        <v>0</v>
      </c>
      <c r="J58" s="12">
        <v>0</v>
      </c>
      <c r="K58" s="12">
        <v>26538</v>
      </c>
      <c r="L58" s="12">
        <v>26538</v>
      </c>
      <c r="M58" s="12">
        <v>26538</v>
      </c>
      <c r="N58" s="12">
        <f>24754.65+1542</f>
        <v>26296.65</v>
      </c>
      <c r="O58" s="20"/>
      <c r="P58" s="12">
        <v>0</v>
      </c>
      <c r="Q58" s="12">
        <v>0</v>
      </c>
      <c r="R58" s="12">
        <v>26538</v>
      </c>
      <c r="S58" s="34">
        <v>26538</v>
      </c>
      <c r="T58" s="34">
        <v>26538</v>
      </c>
      <c r="U58" s="124">
        <v>3000</v>
      </c>
    </row>
    <row r="59" spans="1:22" ht="28.5" x14ac:dyDescent="0.2">
      <c r="A59" s="169" t="s">
        <v>61</v>
      </c>
      <c r="B59" s="96">
        <v>0</v>
      </c>
      <c r="C59" s="20"/>
      <c r="D59" s="12">
        <v>0</v>
      </c>
      <c r="E59" s="12">
        <v>0</v>
      </c>
      <c r="F59" s="12">
        <v>0</v>
      </c>
      <c r="G59" s="12">
        <v>0</v>
      </c>
      <c r="H59" s="20"/>
      <c r="I59" s="12">
        <v>0</v>
      </c>
      <c r="J59" s="12">
        <v>0</v>
      </c>
      <c r="K59" s="12">
        <v>7830</v>
      </c>
      <c r="L59" s="12">
        <f>2025+14597</f>
        <v>16622</v>
      </c>
      <c r="M59" s="12">
        <f>2025+14597</f>
        <v>16622</v>
      </c>
      <c r="N59" s="12">
        <v>11784</v>
      </c>
      <c r="O59" s="20"/>
      <c r="P59" s="12">
        <v>0</v>
      </c>
      <c r="Q59" s="12">
        <v>0</v>
      </c>
      <c r="R59" s="12">
        <v>7830</v>
      </c>
      <c r="S59" s="34">
        <f>7830+2025</f>
        <v>9855</v>
      </c>
      <c r="T59" s="93">
        <f>7830</f>
        <v>7830</v>
      </c>
      <c r="U59" s="124">
        <v>3000</v>
      </c>
      <c r="V59" s="72"/>
    </row>
    <row r="60" spans="1:22" ht="14.25" x14ac:dyDescent="0.2">
      <c r="A60" s="173" t="s">
        <v>115</v>
      </c>
      <c r="B60" s="96">
        <v>0</v>
      </c>
      <c r="C60" s="20"/>
      <c r="D60" s="12">
        <v>0</v>
      </c>
      <c r="E60" s="12">
        <v>0</v>
      </c>
      <c r="F60" s="12">
        <v>0</v>
      </c>
      <c r="G60" s="12">
        <v>0</v>
      </c>
      <c r="H60" s="20"/>
      <c r="I60" s="12">
        <v>0</v>
      </c>
      <c r="J60" s="12">
        <v>0</v>
      </c>
      <c r="K60" s="12">
        <v>10743</v>
      </c>
      <c r="L60" s="12">
        <v>10743</v>
      </c>
      <c r="M60" s="12">
        <v>10743</v>
      </c>
      <c r="N60" s="12">
        <v>13024.69</v>
      </c>
      <c r="O60" s="20"/>
      <c r="P60" s="12">
        <v>0</v>
      </c>
      <c r="Q60" s="12">
        <v>0</v>
      </c>
      <c r="R60" s="12">
        <v>10743</v>
      </c>
      <c r="S60" s="34">
        <v>10743</v>
      </c>
      <c r="T60" s="34">
        <v>10743</v>
      </c>
      <c r="U60" s="124">
        <v>3000</v>
      </c>
    </row>
    <row r="61" spans="1:22" ht="14.25" x14ac:dyDescent="0.2">
      <c r="A61" s="149" t="s">
        <v>105</v>
      </c>
      <c r="B61" s="96">
        <v>0</v>
      </c>
      <c r="C61" s="20"/>
      <c r="D61" s="12">
        <v>0</v>
      </c>
      <c r="E61" s="12">
        <v>0</v>
      </c>
      <c r="F61" s="12">
        <v>0</v>
      </c>
      <c r="G61" s="12">
        <v>0</v>
      </c>
      <c r="H61" s="20"/>
      <c r="I61" s="12">
        <v>0</v>
      </c>
      <c r="J61" s="12">
        <v>0</v>
      </c>
      <c r="K61" s="12">
        <v>2673</v>
      </c>
      <c r="L61" s="12">
        <v>2673</v>
      </c>
      <c r="M61" s="12">
        <v>2673</v>
      </c>
      <c r="N61" s="12">
        <v>2673</v>
      </c>
      <c r="O61" s="20"/>
      <c r="P61" s="12">
        <v>0</v>
      </c>
      <c r="Q61" s="12">
        <v>0</v>
      </c>
      <c r="R61" s="12">
        <v>2673</v>
      </c>
      <c r="S61" s="34">
        <f>2673+2673</f>
        <v>5346</v>
      </c>
      <c r="T61" s="34">
        <f>2673+2673</f>
        <v>5346</v>
      </c>
      <c r="U61" s="124">
        <v>3000</v>
      </c>
    </row>
    <row r="62" spans="1:22" ht="30.75" x14ac:dyDescent="0.2">
      <c r="A62" s="149" t="s">
        <v>106</v>
      </c>
      <c r="B62" s="96">
        <v>0</v>
      </c>
      <c r="C62" s="20"/>
      <c r="D62" s="12">
        <v>0</v>
      </c>
      <c r="E62" s="12">
        <v>0</v>
      </c>
      <c r="F62" s="12">
        <v>0</v>
      </c>
      <c r="G62" s="12">
        <v>0</v>
      </c>
      <c r="H62" s="20"/>
      <c r="I62" s="12">
        <v>0</v>
      </c>
      <c r="J62" s="12">
        <v>0</v>
      </c>
      <c r="K62" s="12">
        <v>25883</v>
      </c>
      <c r="L62" s="12">
        <v>25883</v>
      </c>
      <c r="M62" s="12">
        <v>25883</v>
      </c>
      <c r="N62" s="12">
        <v>5729.31</v>
      </c>
      <c r="O62" s="20"/>
      <c r="P62" s="12">
        <v>0</v>
      </c>
      <c r="Q62" s="12">
        <v>0</v>
      </c>
      <c r="R62" s="12">
        <v>25883</v>
      </c>
      <c r="S62" s="34">
        <v>26362</v>
      </c>
      <c r="T62" s="34">
        <v>26362</v>
      </c>
      <c r="U62" s="124">
        <v>3000</v>
      </c>
    </row>
    <row r="63" spans="1:22" ht="14.25" x14ac:dyDescent="0.2">
      <c r="A63" s="149" t="s">
        <v>87</v>
      </c>
      <c r="B63" s="96">
        <v>0</v>
      </c>
      <c r="C63" s="20"/>
      <c r="D63" s="12">
        <v>0</v>
      </c>
      <c r="E63" s="12">
        <v>0</v>
      </c>
      <c r="F63" s="12">
        <v>0</v>
      </c>
      <c r="G63" s="12">
        <v>0</v>
      </c>
      <c r="H63" s="20"/>
      <c r="I63" s="12">
        <v>0</v>
      </c>
      <c r="J63" s="12">
        <v>0</v>
      </c>
      <c r="K63" s="12">
        <v>26538</v>
      </c>
      <c r="L63" s="12">
        <v>26538</v>
      </c>
      <c r="M63" s="12">
        <v>26538</v>
      </c>
      <c r="N63" s="12">
        <v>4655.99</v>
      </c>
      <c r="O63" s="20"/>
      <c r="P63" s="12">
        <v>0</v>
      </c>
      <c r="Q63" s="12">
        <v>0</v>
      </c>
      <c r="R63" s="12">
        <v>26538</v>
      </c>
      <c r="S63" s="34">
        <v>26538</v>
      </c>
      <c r="T63" s="34">
        <v>26538</v>
      </c>
      <c r="U63" s="124">
        <v>3000</v>
      </c>
    </row>
    <row r="64" spans="1:22" ht="14.25" x14ac:dyDescent="0.2">
      <c r="A64" s="149" t="s">
        <v>49</v>
      </c>
      <c r="B64" s="96">
        <v>0</v>
      </c>
      <c r="C64" s="20"/>
      <c r="D64" s="12">
        <v>0</v>
      </c>
      <c r="E64" s="12">
        <v>0</v>
      </c>
      <c r="F64" s="12">
        <v>0</v>
      </c>
      <c r="G64" s="12">
        <v>0</v>
      </c>
      <c r="H64" s="20"/>
      <c r="I64" s="12">
        <v>0</v>
      </c>
      <c r="J64" s="12">
        <v>0</v>
      </c>
      <c r="K64" s="12">
        <v>8185</v>
      </c>
      <c r="L64" s="12">
        <v>8185</v>
      </c>
      <c r="M64" s="12">
        <v>8185</v>
      </c>
      <c r="N64" s="12">
        <v>8185</v>
      </c>
      <c r="O64" s="20"/>
      <c r="P64" s="12">
        <v>0</v>
      </c>
      <c r="Q64" s="12">
        <v>0</v>
      </c>
      <c r="R64" s="12">
        <v>8185</v>
      </c>
      <c r="S64" s="34">
        <v>8185</v>
      </c>
      <c r="T64" s="93">
        <v>14580</v>
      </c>
      <c r="U64" s="124">
        <v>3000</v>
      </c>
    </row>
    <row r="65" spans="1:21" ht="14.25" x14ac:dyDescent="0.2">
      <c r="A65" s="149" t="s">
        <v>50</v>
      </c>
      <c r="B65" s="96">
        <v>0</v>
      </c>
      <c r="C65" s="20"/>
      <c r="D65" s="12">
        <v>0</v>
      </c>
      <c r="E65" s="12">
        <v>0</v>
      </c>
      <c r="F65" s="12">
        <v>0</v>
      </c>
      <c r="G65" s="12">
        <v>0</v>
      </c>
      <c r="H65" s="20"/>
      <c r="I65" s="12">
        <v>0</v>
      </c>
      <c r="J65" s="12">
        <v>0</v>
      </c>
      <c r="K65" s="12">
        <v>16704</v>
      </c>
      <c r="L65" s="12">
        <v>16704</v>
      </c>
      <c r="M65" s="12">
        <v>16704</v>
      </c>
      <c r="N65" s="12">
        <v>0</v>
      </c>
      <c r="O65" s="20"/>
      <c r="P65" s="12">
        <v>0</v>
      </c>
      <c r="Q65" s="12">
        <v>0</v>
      </c>
      <c r="R65" s="12">
        <v>16704</v>
      </c>
      <c r="S65" s="34">
        <v>0</v>
      </c>
      <c r="T65" s="34">
        <v>0</v>
      </c>
      <c r="U65" s="124">
        <v>3000</v>
      </c>
    </row>
    <row r="66" spans="1:21" ht="14.25" x14ac:dyDescent="0.2">
      <c r="A66" s="149" t="s">
        <v>51</v>
      </c>
      <c r="B66" s="96">
        <v>0</v>
      </c>
      <c r="C66" s="20"/>
      <c r="D66" s="12">
        <v>0</v>
      </c>
      <c r="E66" s="12">
        <v>0</v>
      </c>
      <c r="F66" s="12">
        <v>0</v>
      </c>
      <c r="G66" s="12">
        <v>0</v>
      </c>
      <c r="H66" s="20"/>
      <c r="I66" s="12">
        <v>0</v>
      </c>
      <c r="J66" s="12">
        <v>0</v>
      </c>
      <c r="K66" s="12">
        <v>32072</v>
      </c>
      <c r="L66" s="12">
        <v>32072</v>
      </c>
      <c r="M66" s="12">
        <v>32072</v>
      </c>
      <c r="N66" s="12">
        <v>30685.37</v>
      </c>
      <c r="O66" s="20"/>
      <c r="P66" s="12">
        <v>0</v>
      </c>
      <c r="Q66" s="12">
        <v>0</v>
      </c>
      <c r="R66" s="12">
        <v>32072</v>
      </c>
      <c r="S66" s="34">
        <v>32072</v>
      </c>
      <c r="T66" s="93">
        <v>24019</v>
      </c>
      <c r="U66" s="124">
        <v>3000</v>
      </c>
    </row>
    <row r="67" spans="1:21" ht="14.25" x14ac:dyDescent="0.2">
      <c r="A67" s="170" t="s">
        <v>91</v>
      </c>
      <c r="B67" s="96">
        <v>0</v>
      </c>
      <c r="C67" s="20"/>
      <c r="D67" s="12">
        <v>0</v>
      </c>
      <c r="E67" s="12">
        <v>0</v>
      </c>
      <c r="F67" s="12">
        <v>0</v>
      </c>
      <c r="G67" s="12">
        <v>0</v>
      </c>
      <c r="H67" s="20"/>
      <c r="I67" s="12">
        <v>0</v>
      </c>
      <c r="J67" s="12">
        <v>0</v>
      </c>
      <c r="K67" s="12">
        <v>0</v>
      </c>
      <c r="L67" s="12">
        <v>0</v>
      </c>
      <c r="M67" s="12">
        <v>0</v>
      </c>
      <c r="N67" s="12">
        <v>0</v>
      </c>
      <c r="O67" s="20"/>
      <c r="P67" s="12">
        <v>0</v>
      </c>
      <c r="Q67" s="12">
        <v>0</v>
      </c>
      <c r="R67" s="12">
        <v>0</v>
      </c>
      <c r="S67" s="34">
        <v>28438</v>
      </c>
      <c r="T67" s="93">
        <v>0</v>
      </c>
      <c r="U67" s="124">
        <v>3000</v>
      </c>
    </row>
    <row r="68" spans="1:21" ht="14.25" x14ac:dyDescent="0.2">
      <c r="A68" s="170" t="s">
        <v>52</v>
      </c>
      <c r="B68" s="96">
        <v>0</v>
      </c>
      <c r="C68" s="20"/>
      <c r="D68" s="12">
        <v>0</v>
      </c>
      <c r="E68" s="12">
        <v>0</v>
      </c>
      <c r="F68" s="12">
        <v>0</v>
      </c>
      <c r="G68" s="12">
        <v>0</v>
      </c>
      <c r="H68" s="20"/>
      <c r="I68" s="12">
        <v>0</v>
      </c>
      <c r="J68" s="12">
        <v>0</v>
      </c>
      <c r="K68" s="12">
        <v>0</v>
      </c>
      <c r="L68" s="12">
        <v>1524</v>
      </c>
      <c r="M68" s="12">
        <v>1524</v>
      </c>
      <c r="N68" s="12">
        <v>933.02</v>
      </c>
      <c r="O68" s="20"/>
      <c r="P68" s="12">
        <v>0</v>
      </c>
      <c r="Q68" s="12">
        <v>0</v>
      </c>
      <c r="R68" s="12">
        <v>0</v>
      </c>
      <c r="S68" s="34">
        <v>13488</v>
      </c>
      <c r="T68" s="34">
        <v>13488</v>
      </c>
      <c r="U68" s="124">
        <v>3000</v>
      </c>
    </row>
    <row r="69" spans="1:21" ht="14.25" x14ac:dyDescent="0.2">
      <c r="A69" s="170" t="s">
        <v>53</v>
      </c>
      <c r="B69" s="96">
        <v>0</v>
      </c>
      <c r="C69" s="20"/>
      <c r="D69" s="12">
        <v>0</v>
      </c>
      <c r="E69" s="12">
        <v>0</v>
      </c>
      <c r="F69" s="12">
        <v>0</v>
      </c>
      <c r="G69" s="12">
        <v>0</v>
      </c>
      <c r="H69" s="20"/>
      <c r="I69" s="12">
        <v>0</v>
      </c>
      <c r="J69" s="12">
        <v>0</v>
      </c>
      <c r="K69" s="12">
        <v>0</v>
      </c>
      <c r="L69" s="12">
        <v>15925</v>
      </c>
      <c r="M69" s="12">
        <v>15925</v>
      </c>
      <c r="N69" s="12">
        <v>5556.13</v>
      </c>
      <c r="O69" s="20"/>
      <c r="P69" s="12">
        <v>0</v>
      </c>
      <c r="Q69" s="12">
        <v>0</v>
      </c>
      <c r="R69" s="12">
        <v>0</v>
      </c>
      <c r="S69" s="34">
        <v>15925</v>
      </c>
      <c r="T69" s="93">
        <v>15925</v>
      </c>
      <c r="U69" s="124">
        <v>3000</v>
      </c>
    </row>
    <row r="70" spans="1:21" ht="14.25" x14ac:dyDescent="0.2">
      <c r="A70" s="150" t="s">
        <v>88</v>
      </c>
      <c r="B70" s="105">
        <v>0</v>
      </c>
      <c r="C70" s="58"/>
      <c r="D70" s="65">
        <v>0</v>
      </c>
      <c r="E70" s="65">
        <v>0</v>
      </c>
      <c r="F70" s="65">
        <v>0</v>
      </c>
      <c r="G70" s="65">
        <v>0</v>
      </c>
      <c r="H70" s="58"/>
      <c r="I70" s="65">
        <v>0</v>
      </c>
      <c r="J70" s="65">
        <v>0</v>
      </c>
      <c r="K70" s="65">
        <v>0</v>
      </c>
      <c r="L70" s="65">
        <v>0</v>
      </c>
      <c r="M70" s="65">
        <v>0</v>
      </c>
      <c r="N70" s="65">
        <v>0</v>
      </c>
      <c r="O70" s="58"/>
      <c r="P70" s="65">
        <v>0</v>
      </c>
      <c r="Q70" s="65">
        <v>0</v>
      </c>
      <c r="R70" s="65">
        <v>0</v>
      </c>
      <c r="S70" s="55">
        <v>13179</v>
      </c>
      <c r="T70" s="55">
        <v>13179</v>
      </c>
      <c r="U70" s="128">
        <v>3000</v>
      </c>
    </row>
    <row r="71" spans="1:21" ht="28.5" x14ac:dyDescent="0.2">
      <c r="A71" s="151" t="s">
        <v>62</v>
      </c>
      <c r="B71" s="98"/>
      <c r="C71" s="54"/>
      <c r="D71" s="55"/>
      <c r="E71" s="55"/>
      <c r="F71" s="55"/>
      <c r="G71" s="55"/>
      <c r="H71" s="54"/>
      <c r="I71" s="55">
        <v>0</v>
      </c>
      <c r="J71" s="55">
        <v>0</v>
      </c>
      <c r="K71" s="55">
        <v>0</v>
      </c>
      <c r="L71" s="55">
        <v>0</v>
      </c>
      <c r="M71" s="55">
        <v>0</v>
      </c>
      <c r="N71" s="55">
        <v>0</v>
      </c>
      <c r="O71" s="54"/>
      <c r="P71" s="55">
        <v>0</v>
      </c>
      <c r="Q71" s="55">
        <v>0</v>
      </c>
      <c r="R71" s="55">
        <v>0</v>
      </c>
      <c r="S71" s="55">
        <v>0</v>
      </c>
      <c r="T71" s="55">
        <v>0</v>
      </c>
      <c r="U71" s="128" t="s">
        <v>4</v>
      </c>
    </row>
    <row r="72" spans="1:21" x14ac:dyDescent="0.2">
      <c r="A72" s="152" t="s">
        <v>63</v>
      </c>
      <c r="B72" s="96">
        <v>0</v>
      </c>
      <c r="C72" s="20"/>
      <c r="D72" s="12">
        <v>293003</v>
      </c>
      <c r="E72" s="12">
        <v>304527</v>
      </c>
      <c r="F72" s="12">
        <v>330000</v>
      </c>
      <c r="G72" s="12">
        <v>329642.90999999997</v>
      </c>
      <c r="H72" s="20"/>
      <c r="I72" s="12">
        <v>290813</v>
      </c>
      <c r="J72" s="12">
        <v>308701</v>
      </c>
      <c r="K72" s="12">
        <v>0</v>
      </c>
      <c r="L72" s="12">
        <v>0</v>
      </c>
      <c r="M72" s="12">
        <v>0</v>
      </c>
      <c r="N72" s="12">
        <v>0</v>
      </c>
      <c r="O72" s="20"/>
      <c r="P72" s="12">
        <v>290813</v>
      </c>
      <c r="Q72" s="12">
        <v>308701</v>
      </c>
      <c r="R72" s="12">
        <v>0</v>
      </c>
      <c r="S72" s="12">
        <v>0</v>
      </c>
      <c r="T72" s="12">
        <v>0</v>
      </c>
      <c r="U72" s="122">
        <v>3000</v>
      </c>
    </row>
    <row r="73" spans="1:21" x14ac:dyDescent="0.25">
      <c r="A73" s="153" t="s">
        <v>64</v>
      </c>
      <c r="B73" s="96">
        <v>0</v>
      </c>
      <c r="C73" s="20"/>
      <c r="D73" s="12">
        <v>0</v>
      </c>
      <c r="E73" s="12">
        <v>0</v>
      </c>
      <c r="F73" s="12">
        <v>0</v>
      </c>
      <c r="G73" s="12">
        <v>0</v>
      </c>
      <c r="H73" s="20"/>
      <c r="I73" s="12">
        <v>0</v>
      </c>
      <c r="J73" s="12">
        <v>0</v>
      </c>
      <c r="K73" s="12">
        <v>0</v>
      </c>
      <c r="L73" s="12">
        <v>0</v>
      </c>
      <c r="M73" s="12">
        <v>0</v>
      </c>
      <c r="N73" s="12">
        <v>0</v>
      </c>
      <c r="O73" s="20"/>
      <c r="P73" s="12">
        <v>0</v>
      </c>
      <c r="Q73" s="12">
        <v>0</v>
      </c>
      <c r="R73" s="34">
        <v>0</v>
      </c>
      <c r="S73" s="34">
        <v>0</v>
      </c>
      <c r="T73" s="34">
        <v>0</v>
      </c>
      <c r="U73" s="124">
        <v>3000</v>
      </c>
    </row>
    <row r="74" spans="1:21" ht="14.25" x14ac:dyDescent="0.2">
      <c r="A74" s="148" t="s">
        <v>54</v>
      </c>
      <c r="B74" s="96">
        <v>0</v>
      </c>
      <c r="C74" s="20"/>
      <c r="D74" s="12">
        <v>0</v>
      </c>
      <c r="E74" s="12">
        <v>0</v>
      </c>
      <c r="F74" s="12">
        <v>0</v>
      </c>
      <c r="G74" s="12">
        <v>0</v>
      </c>
      <c r="H74" s="20"/>
      <c r="I74" s="12">
        <v>0</v>
      </c>
      <c r="J74" s="12">
        <v>0</v>
      </c>
      <c r="K74" s="12">
        <v>63660</v>
      </c>
      <c r="L74" s="12">
        <v>63660</v>
      </c>
      <c r="M74" s="12">
        <v>63660</v>
      </c>
      <c r="N74" s="12">
        <v>50657.38</v>
      </c>
      <c r="O74" s="20"/>
      <c r="P74" s="12">
        <v>0</v>
      </c>
      <c r="Q74" s="12">
        <v>0</v>
      </c>
      <c r="R74" s="12">
        <v>63660</v>
      </c>
      <c r="S74" s="34">
        <v>63660</v>
      </c>
      <c r="T74" s="93">
        <f>63660+5509+5509</f>
        <v>74678</v>
      </c>
      <c r="U74" s="124">
        <v>3000</v>
      </c>
    </row>
    <row r="75" spans="1:21" ht="14.25" x14ac:dyDescent="0.2">
      <c r="A75" s="147" t="s">
        <v>55</v>
      </c>
      <c r="B75" s="96">
        <v>0</v>
      </c>
      <c r="C75" s="20"/>
      <c r="D75" s="12">
        <v>0</v>
      </c>
      <c r="E75" s="12">
        <v>0</v>
      </c>
      <c r="F75" s="12">
        <v>0</v>
      </c>
      <c r="G75" s="12">
        <v>0</v>
      </c>
      <c r="H75" s="20"/>
      <c r="I75" s="12">
        <v>0</v>
      </c>
      <c r="J75" s="12">
        <v>0</v>
      </c>
      <c r="K75" s="12">
        <v>1383</v>
      </c>
      <c r="L75" s="12">
        <v>1383</v>
      </c>
      <c r="M75" s="12">
        <v>1383</v>
      </c>
      <c r="N75" s="12">
        <v>1423.54</v>
      </c>
      <c r="O75" s="20"/>
      <c r="P75" s="12">
        <v>0</v>
      </c>
      <c r="Q75" s="12">
        <v>0</v>
      </c>
      <c r="R75" s="12">
        <v>1383</v>
      </c>
      <c r="S75" s="34">
        <f>1383+1383</f>
        <v>2766</v>
      </c>
      <c r="T75" s="93">
        <f>1383+1383+612</f>
        <v>3378</v>
      </c>
      <c r="U75" s="124">
        <v>3000</v>
      </c>
    </row>
    <row r="76" spans="1:21" ht="14.25" x14ac:dyDescent="0.2">
      <c r="A76" s="147" t="s">
        <v>56</v>
      </c>
      <c r="B76" s="96">
        <v>0</v>
      </c>
      <c r="C76" s="20"/>
      <c r="D76" s="12">
        <v>0</v>
      </c>
      <c r="E76" s="12">
        <v>0</v>
      </c>
      <c r="F76" s="12">
        <v>0</v>
      </c>
      <c r="G76" s="12">
        <v>0</v>
      </c>
      <c r="H76" s="20"/>
      <c r="I76" s="12">
        <v>0</v>
      </c>
      <c r="J76" s="12">
        <v>0</v>
      </c>
      <c r="K76" s="12">
        <v>687</v>
      </c>
      <c r="L76" s="12">
        <f>687+875</f>
        <v>1562</v>
      </c>
      <c r="M76" s="12">
        <f>687+875</f>
        <v>1562</v>
      </c>
      <c r="N76" s="12">
        <v>704</v>
      </c>
      <c r="O76" s="20"/>
      <c r="P76" s="12">
        <v>0</v>
      </c>
      <c r="Q76" s="12">
        <v>0</v>
      </c>
      <c r="R76" s="12">
        <v>687</v>
      </c>
      <c r="S76" s="34">
        <f>687+875</f>
        <v>1562</v>
      </c>
      <c r="T76" s="93">
        <v>1723</v>
      </c>
      <c r="U76" s="124">
        <v>3000</v>
      </c>
    </row>
    <row r="77" spans="1:21" ht="14.25" x14ac:dyDescent="0.2">
      <c r="A77" s="147" t="s">
        <v>57</v>
      </c>
      <c r="B77" s="96">
        <v>0</v>
      </c>
      <c r="C77" s="20"/>
      <c r="D77" s="12">
        <v>0</v>
      </c>
      <c r="E77" s="12">
        <v>0</v>
      </c>
      <c r="F77" s="12">
        <v>0</v>
      </c>
      <c r="G77" s="12">
        <v>0</v>
      </c>
      <c r="H77" s="20"/>
      <c r="I77" s="12">
        <v>0</v>
      </c>
      <c r="J77" s="12">
        <v>0</v>
      </c>
      <c r="K77" s="12">
        <v>1058</v>
      </c>
      <c r="L77" s="12">
        <f>1058+1362</f>
        <v>2420</v>
      </c>
      <c r="M77" s="12">
        <f>1058+1362</f>
        <v>2420</v>
      </c>
      <c r="N77" s="12">
        <v>751.77</v>
      </c>
      <c r="O77" s="20"/>
      <c r="P77" s="12">
        <v>0</v>
      </c>
      <c r="Q77" s="12">
        <v>0</v>
      </c>
      <c r="R77" s="12">
        <v>1058</v>
      </c>
      <c r="S77" s="34">
        <f>1058+1362</f>
        <v>2420</v>
      </c>
      <c r="T77" s="93">
        <v>2585</v>
      </c>
      <c r="U77" s="124">
        <v>3000</v>
      </c>
    </row>
    <row r="78" spans="1:21" ht="14.25" x14ac:dyDescent="0.2">
      <c r="A78" s="148" t="s">
        <v>58</v>
      </c>
      <c r="B78" s="96">
        <v>0</v>
      </c>
      <c r="C78" s="20"/>
      <c r="D78" s="12">
        <v>0</v>
      </c>
      <c r="E78" s="12">
        <v>0</v>
      </c>
      <c r="F78" s="12">
        <v>0</v>
      </c>
      <c r="G78" s="12">
        <v>0</v>
      </c>
      <c r="H78" s="20"/>
      <c r="I78" s="12">
        <v>0</v>
      </c>
      <c r="J78" s="12">
        <v>0</v>
      </c>
      <c r="K78" s="12">
        <v>2307</v>
      </c>
      <c r="L78" s="12">
        <v>2307</v>
      </c>
      <c r="M78" s="12">
        <v>2307</v>
      </c>
      <c r="N78" s="12">
        <v>633.05999999999995</v>
      </c>
      <c r="O78" s="20"/>
      <c r="P78" s="12">
        <v>0</v>
      </c>
      <c r="Q78" s="12">
        <v>0</v>
      </c>
      <c r="R78" s="12">
        <v>2307</v>
      </c>
      <c r="S78" s="34">
        <f>2307+2307</f>
        <v>4614</v>
      </c>
      <c r="T78" s="93">
        <f>2307+2307+471</f>
        <v>5085</v>
      </c>
      <c r="U78" s="124">
        <v>3000</v>
      </c>
    </row>
    <row r="79" spans="1:21" ht="14.25" x14ac:dyDescent="0.2">
      <c r="A79" s="148" t="s">
        <v>59</v>
      </c>
      <c r="B79" s="96">
        <v>0</v>
      </c>
      <c r="C79" s="20"/>
      <c r="D79" s="12">
        <v>0</v>
      </c>
      <c r="E79" s="12">
        <v>0</v>
      </c>
      <c r="F79" s="12">
        <v>0</v>
      </c>
      <c r="G79" s="12">
        <v>0</v>
      </c>
      <c r="H79" s="20"/>
      <c r="I79" s="12">
        <v>0</v>
      </c>
      <c r="J79" s="12">
        <v>0</v>
      </c>
      <c r="K79" s="12">
        <v>562</v>
      </c>
      <c r="L79" s="12">
        <v>562</v>
      </c>
      <c r="M79" s="12">
        <v>562</v>
      </c>
      <c r="N79" s="12">
        <v>0</v>
      </c>
      <c r="O79" s="20"/>
      <c r="P79" s="12">
        <v>0</v>
      </c>
      <c r="Q79" s="12">
        <v>0</v>
      </c>
      <c r="R79" s="12">
        <v>562</v>
      </c>
      <c r="S79" s="34">
        <v>562</v>
      </c>
      <c r="T79" s="93">
        <v>172</v>
      </c>
      <c r="U79" s="124">
        <v>3000</v>
      </c>
    </row>
    <row r="80" spans="1:21" ht="14.25" x14ac:dyDescent="0.2">
      <c r="A80" s="148" t="s">
        <v>60</v>
      </c>
      <c r="B80" s="96">
        <v>0</v>
      </c>
      <c r="C80" s="20"/>
      <c r="D80" s="12">
        <v>0</v>
      </c>
      <c r="E80" s="12">
        <v>0</v>
      </c>
      <c r="F80" s="12">
        <v>0</v>
      </c>
      <c r="G80" s="12">
        <v>0</v>
      </c>
      <c r="H80" s="20"/>
      <c r="I80" s="12">
        <v>0</v>
      </c>
      <c r="J80" s="12">
        <v>0</v>
      </c>
      <c r="K80" s="12">
        <v>939</v>
      </c>
      <c r="L80" s="12">
        <v>939</v>
      </c>
      <c r="M80" s="12">
        <v>939</v>
      </c>
      <c r="N80" s="12">
        <f>975.9+771.13</f>
        <v>1747.03</v>
      </c>
      <c r="O80" s="20"/>
      <c r="P80" s="12">
        <v>0</v>
      </c>
      <c r="Q80" s="12">
        <v>0</v>
      </c>
      <c r="R80" s="12">
        <v>939</v>
      </c>
      <c r="S80" s="34">
        <v>939</v>
      </c>
      <c r="T80" s="93">
        <v>898</v>
      </c>
      <c r="U80" s="124">
        <v>3000</v>
      </c>
    </row>
    <row r="81" spans="1:22" ht="28.5" x14ac:dyDescent="0.2">
      <c r="A81" s="154" t="s">
        <v>65</v>
      </c>
      <c r="B81" s="97"/>
      <c r="C81" s="25"/>
      <c r="D81" s="34"/>
      <c r="E81" s="34"/>
      <c r="F81" s="34"/>
      <c r="G81" s="34"/>
      <c r="H81" s="54"/>
      <c r="I81" s="55">
        <v>3429</v>
      </c>
      <c r="J81" s="55">
        <v>31801</v>
      </c>
      <c r="K81" s="55">
        <v>0</v>
      </c>
      <c r="L81" s="55">
        <v>0</v>
      </c>
      <c r="M81" s="55">
        <v>0</v>
      </c>
      <c r="N81" s="55"/>
      <c r="O81" s="54"/>
      <c r="P81" s="55">
        <v>3429</v>
      </c>
      <c r="Q81" s="55">
        <v>31801</v>
      </c>
      <c r="R81" s="55">
        <v>0</v>
      </c>
      <c r="S81" s="55">
        <v>0</v>
      </c>
      <c r="T81" s="55">
        <v>0</v>
      </c>
      <c r="U81" s="128" t="s">
        <v>4</v>
      </c>
    </row>
    <row r="82" spans="1:22" x14ac:dyDescent="0.2">
      <c r="A82" s="152" t="s">
        <v>63</v>
      </c>
      <c r="B82" s="97">
        <v>0</v>
      </c>
      <c r="C82" s="25"/>
      <c r="D82" s="34">
        <v>3429</v>
      </c>
      <c r="E82" s="34">
        <v>31801</v>
      </c>
      <c r="F82" s="34">
        <v>24000</v>
      </c>
      <c r="G82" s="34">
        <v>23890.78</v>
      </c>
      <c r="H82" s="20"/>
      <c r="I82" s="12">
        <v>0</v>
      </c>
      <c r="J82" s="12">
        <v>0</v>
      </c>
      <c r="K82" s="12">
        <v>0</v>
      </c>
      <c r="L82" s="12">
        <v>0</v>
      </c>
      <c r="M82" s="12">
        <v>0</v>
      </c>
      <c r="N82" s="12"/>
      <c r="O82" s="20"/>
      <c r="P82" s="12">
        <v>0</v>
      </c>
      <c r="Q82" s="12">
        <v>0</v>
      </c>
      <c r="R82" s="12">
        <v>0</v>
      </c>
      <c r="S82" s="12">
        <v>0</v>
      </c>
      <c r="T82" s="12">
        <v>0</v>
      </c>
      <c r="U82" s="122">
        <v>3000</v>
      </c>
    </row>
    <row r="83" spans="1:22" ht="15.75" thickBot="1" x14ac:dyDescent="0.3">
      <c r="A83" s="153" t="s">
        <v>64</v>
      </c>
      <c r="B83" s="105">
        <v>0</v>
      </c>
      <c r="C83" s="58"/>
      <c r="D83" s="65">
        <v>0</v>
      </c>
      <c r="E83" s="65">
        <v>0</v>
      </c>
      <c r="F83" s="65">
        <v>0</v>
      </c>
      <c r="G83" s="65"/>
      <c r="H83" s="58"/>
      <c r="I83" s="65">
        <v>0</v>
      </c>
      <c r="J83" s="65">
        <v>0</v>
      </c>
      <c r="K83" s="65">
        <v>0</v>
      </c>
      <c r="L83" s="65">
        <v>0</v>
      </c>
      <c r="M83" s="65">
        <v>0</v>
      </c>
      <c r="N83" s="65"/>
      <c r="O83" s="58"/>
      <c r="P83" s="65">
        <v>0</v>
      </c>
      <c r="Q83" s="65">
        <v>0</v>
      </c>
      <c r="R83" s="55">
        <v>0</v>
      </c>
      <c r="S83" s="55">
        <v>0</v>
      </c>
      <c r="T83" s="55">
        <v>0</v>
      </c>
      <c r="U83" s="128">
        <v>3000</v>
      </c>
    </row>
    <row r="84" spans="1:22" ht="29.25" customHeight="1" thickBot="1" x14ac:dyDescent="0.25">
      <c r="A84" s="116" t="s">
        <v>20</v>
      </c>
      <c r="B84" s="102">
        <f>SUM(B51:B83)</f>
        <v>0</v>
      </c>
      <c r="C84" s="24"/>
      <c r="D84" s="14">
        <f>SUM(D51:D83)</f>
        <v>296432</v>
      </c>
      <c r="E84" s="14">
        <f>SUM(E51:E83)</f>
        <v>336328</v>
      </c>
      <c r="F84" s="14">
        <f>SUM(F51:F83)</f>
        <v>354000</v>
      </c>
      <c r="G84" s="14">
        <f>SUM(G51:G83)</f>
        <v>353533.68999999994</v>
      </c>
      <c r="H84" s="24"/>
      <c r="I84" s="14">
        <f t="shared" ref="I84:N84" si="2">SUM(I51:I83)</f>
        <v>294242</v>
      </c>
      <c r="J84" s="14">
        <f t="shared" si="2"/>
        <v>340502</v>
      </c>
      <c r="K84" s="14">
        <f t="shared" si="2"/>
        <v>368114</v>
      </c>
      <c r="L84" s="14">
        <f t="shared" si="2"/>
        <v>396592</v>
      </c>
      <c r="M84" s="14">
        <f t="shared" si="2"/>
        <v>396592</v>
      </c>
      <c r="N84" s="14">
        <f t="shared" si="2"/>
        <v>297165.53000000003</v>
      </c>
      <c r="O84" s="24"/>
      <c r="P84" s="14">
        <f>SUM(P51:P83)</f>
        <v>294242</v>
      </c>
      <c r="Q84" s="50">
        <f>SUM(Q51:Q83)</f>
        <v>340502</v>
      </c>
      <c r="R84" s="50">
        <f>SUM(R51:R83)</f>
        <v>368114</v>
      </c>
      <c r="S84" s="50">
        <f>SUM(S51:S83)</f>
        <v>459210</v>
      </c>
      <c r="T84" s="50">
        <f>SUM(T51:T83)</f>
        <v>434462</v>
      </c>
      <c r="U84" s="64" t="s">
        <v>4</v>
      </c>
    </row>
    <row r="85" spans="1:22" ht="160.5" customHeight="1" x14ac:dyDescent="0.2">
      <c r="A85" s="155" t="s">
        <v>107</v>
      </c>
      <c r="B85" s="106">
        <v>0</v>
      </c>
      <c r="C85" s="20"/>
      <c r="D85" s="19">
        <v>25000</v>
      </c>
      <c r="E85" s="19">
        <v>6817</v>
      </c>
      <c r="F85" s="19">
        <v>6817</v>
      </c>
      <c r="G85" s="19">
        <v>0</v>
      </c>
      <c r="H85" s="20"/>
      <c r="I85" s="19">
        <v>15000</v>
      </c>
      <c r="J85" s="19">
        <v>10131</v>
      </c>
      <c r="K85" s="19">
        <v>10000</v>
      </c>
      <c r="L85" s="19">
        <v>0</v>
      </c>
      <c r="M85" s="19">
        <v>0</v>
      </c>
      <c r="N85" s="19">
        <v>0</v>
      </c>
      <c r="O85" s="20"/>
      <c r="P85" s="19">
        <v>10000</v>
      </c>
      <c r="Q85" s="51">
        <v>10131</v>
      </c>
      <c r="R85" s="19">
        <v>10000</v>
      </c>
      <c r="S85" s="12">
        <v>34259</v>
      </c>
      <c r="T85" s="12">
        <v>34259</v>
      </c>
      <c r="U85" s="122" t="s">
        <v>75</v>
      </c>
    </row>
    <row r="86" spans="1:22" ht="72.75" x14ac:dyDescent="0.2">
      <c r="A86" s="156" t="s">
        <v>108</v>
      </c>
      <c r="B86" s="107">
        <v>0</v>
      </c>
      <c r="C86" s="25"/>
      <c r="D86" s="15">
        <v>0</v>
      </c>
      <c r="E86" s="15">
        <v>0</v>
      </c>
      <c r="F86" s="15">
        <v>0</v>
      </c>
      <c r="G86" s="15">
        <v>0</v>
      </c>
      <c r="H86" s="25"/>
      <c r="I86" s="15">
        <v>0</v>
      </c>
      <c r="J86" s="15">
        <v>0</v>
      </c>
      <c r="K86" s="15">
        <v>0</v>
      </c>
      <c r="L86" s="15">
        <v>24271</v>
      </c>
      <c r="M86" s="15">
        <v>24271</v>
      </c>
      <c r="N86" s="15"/>
      <c r="O86" s="25"/>
      <c r="P86" s="15">
        <v>0</v>
      </c>
      <c r="Q86" s="52">
        <v>0</v>
      </c>
      <c r="R86" s="15">
        <v>0</v>
      </c>
      <c r="S86" s="34">
        <v>61536</v>
      </c>
      <c r="T86" s="34">
        <v>41536</v>
      </c>
      <c r="U86" s="124">
        <v>4000</v>
      </c>
      <c r="V86" s="72"/>
    </row>
    <row r="87" spans="1:22" ht="185.25" x14ac:dyDescent="0.2">
      <c r="A87" s="157" t="s">
        <v>128</v>
      </c>
      <c r="B87" s="107">
        <v>0</v>
      </c>
      <c r="C87" s="25"/>
      <c r="D87" s="15">
        <v>0</v>
      </c>
      <c r="E87" s="15">
        <v>0</v>
      </c>
      <c r="F87" s="15">
        <v>0</v>
      </c>
      <c r="G87" s="15">
        <v>0</v>
      </c>
      <c r="H87" s="25"/>
      <c r="I87" s="15">
        <v>0</v>
      </c>
      <c r="J87" s="15">
        <v>0</v>
      </c>
      <c r="K87" s="15">
        <v>10000</v>
      </c>
      <c r="L87" s="15">
        <f>10000+5541.73</f>
        <v>15541.73</v>
      </c>
      <c r="M87" s="15">
        <f>10000+5541.73</f>
        <v>15541.73</v>
      </c>
      <c r="N87" s="15">
        <v>1340</v>
      </c>
      <c r="O87" s="25"/>
      <c r="P87" s="15">
        <v>0</v>
      </c>
      <c r="Q87" s="52">
        <v>0</v>
      </c>
      <c r="R87" s="15">
        <v>10000</v>
      </c>
      <c r="S87" s="34">
        <f>10000+10000+10000</f>
        <v>30000</v>
      </c>
      <c r="T87" s="93">
        <f>30000+25150</f>
        <v>55150</v>
      </c>
      <c r="U87" s="124">
        <v>4310</v>
      </c>
    </row>
    <row r="88" spans="1:22" ht="99.75" x14ac:dyDescent="0.2">
      <c r="A88" s="177" t="s">
        <v>123</v>
      </c>
      <c r="B88" s="107">
        <v>0</v>
      </c>
      <c r="C88" s="25"/>
      <c r="D88" s="15">
        <v>0</v>
      </c>
      <c r="E88" s="15">
        <v>0</v>
      </c>
      <c r="F88" s="15">
        <v>0</v>
      </c>
      <c r="G88" s="15">
        <v>0</v>
      </c>
      <c r="H88" s="25"/>
      <c r="I88" s="15">
        <v>0</v>
      </c>
      <c r="J88" s="15">
        <v>0</v>
      </c>
      <c r="K88" s="15">
        <v>30000</v>
      </c>
      <c r="L88" s="15">
        <f>30000+27895</f>
        <v>57895</v>
      </c>
      <c r="M88" s="15">
        <f>30000+27895</f>
        <v>57895</v>
      </c>
      <c r="N88" s="15">
        <v>29990</v>
      </c>
      <c r="O88" s="25"/>
      <c r="P88" s="15">
        <v>0</v>
      </c>
      <c r="Q88" s="52">
        <v>0</v>
      </c>
      <c r="R88" s="15">
        <v>30000</v>
      </c>
      <c r="S88" s="34">
        <f>30000+40000</f>
        <v>70000</v>
      </c>
      <c r="T88" s="93">
        <f>30000+70000</f>
        <v>100000</v>
      </c>
      <c r="U88" s="124">
        <v>4310</v>
      </c>
      <c r="V88" s="72"/>
    </row>
    <row r="89" spans="1:22" ht="128.25" x14ac:dyDescent="0.2">
      <c r="A89" s="143" t="s">
        <v>109</v>
      </c>
      <c r="B89" s="107">
        <v>0</v>
      </c>
      <c r="C89" s="25"/>
      <c r="D89" s="15">
        <v>0</v>
      </c>
      <c r="E89" s="15">
        <v>0</v>
      </c>
      <c r="F89" s="15">
        <v>0</v>
      </c>
      <c r="G89" s="15">
        <v>0</v>
      </c>
      <c r="H89" s="25"/>
      <c r="I89" s="15">
        <v>0</v>
      </c>
      <c r="J89" s="15">
        <v>0</v>
      </c>
      <c r="K89" s="15">
        <v>30000</v>
      </c>
      <c r="L89" s="15">
        <f>30000+10000</f>
        <v>40000</v>
      </c>
      <c r="M89" s="15">
        <f>30000+10000</f>
        <v>40000</v>
      </c>
      <c r="N89" s="15">
        <v>0</v>
      </c>
      <c r="O89" s="25"/>
      <c r="P89" s="15">
        <v>0</v>
      </c>
      <c r="Q89" s="52">
        <v>0</v>
      </c>
      <c r="R89" s="15">
        <v>30000</v>
      </c>
      <c r="S89" s="34">
        <f>30000+100000</f>
        <v>130000</v>
      </c>
      <c r="T89" s="93">
        <v>138991</v>
      </c>
      <c r="U89" s="124">
        <v>4490</v>
      </c>
    </row>
    <row r="90" spans="1:22" ht="57" x14ac:dyDescent="0.2">
      <c r="A90" s="130" t="s">
        <v>66</v>
      </c>
      <c r="B90" s="107">
        <v>0</v>
      </c>
      <c r="C90" s="25"/>
      <c r="D90" s="15">
        <v>0</v>
      </c>
      <c r="E90" s="15">
        <v>0</v>
      </c>
      <c r="F90" s="15">
        <v>0</v>
      </c>
      <c r="G90" s="15">
        <v>0</v>
      </c>
      <c r="H90" s="25"/>
      <c r="I90" s="15">
        <v>0</v>
      </c>
      <c r="J90" s="15">
        <v>0</v>
      </c>
      <c r="K90" s="15">
        <v>4213</v>
      </c>
      <c r="L90" s="15">
        <f>4213+1759</f>
        <v>5972</v>
      </c>
      <c r="M90" s="15">
        <f>4213+1759</f>
        <v>5972</v>
      </c>
      <c r="N90" s="15">
        <v>0</v>
      </c>
      <c r="O90" s="25"/>
      <c r="P90" s="15">
        <v>0</v>
      </c>
      <c r="Q90" s="52">
        <v>0</v>
      </c>
      <c r="R90" s="15">
        <v>4213</v>
      </c>
      <c r="S90" s="34">
        <v>4213</v>
      </c>
      <c r="T90" s="34">
        <v>4213</v>
      </c>
      <c r="U90" s="124">
        <v>4000</v>
      </c>
    </row>
    <row r="91" spans="1:22" ht="171" x14ac:dyDescent="0.2">
      <c r="A91" s="130" t="s">
        <v>119</v>
      </c>
      <c r="B91" s="107">
        <v>0</v>
      </c>
      <c r="C91" s="25"/>
      <c r="D91" s="15">
        <v>7700</v>
      </c>
      <c r="E91" s="15">
        <v>6817</v>
      </c>
      <c r="F91" s="15">
        <v>6817</v>
      </c>
      <c r="G91" s="15">
        <v>9062.69</v>
      </c>
      <c r="H91" s="25"/>
      <c r="I91" s="15">
        <v>23635</v>
      </c>
      <c r="J91" s="15">
        <v>10131</v>
      </c>
      <c r="K91" s="15">
        <v>30000</v>
      </c>
      <c r="L91" s="15">
        <v>30000</v>
      </c>
      <c r="M91" s="15">
        <v>30000</v>
      </c>
      <c r="N91" s="15">
        <v>0</v>
      </c>
      <c r="O91" s="25"/>
      <c r="P91" s="15">
        <v>38635</v>
      </c>
      <c r="Q91" s="52">
        <v>10131</v>
      </c>
      <c r="R91" s="15">
        <v>30000</v>
      </c>
      <c r="S91" s="34">
        <v>10000</v>
      </c>
      <c r="T91" s="93">
        <v>24602</v>
      </c>
      <c r="U91" s="124">
        <v>4000</v>
      </c>
    </row>
    <row r="92" spans="1:22" thickBot="1" x14ac:dyDescent="0.25">
      <c r="A92" s="158" t="s">
        <v>84</v>
      </c>
      <c r="B92" s="105"/>
      <c r="C92" s="58"/>
      <c r="D92" s="65"/>
      <c r="E92" s="65"/>
      <c r="F92" s="65"/>
      <c r="G92" s="65"/>
      <c r="H92" s="58"/>
      <c r="I92" s="65"/>
      <c r="J92" s="65"/>
      <c r="K92" s="65"/>
      <c r="L92" s="65"/>
      <c r="M92" s="65">
        <v>50831</v>
      </c>
      <c r="N92" s="65">
        <v>0</v>
      </c>
      <c r="O92" s="58"/>
      <c r="P92" s="65"/>
      <c r="Q92" s="72"/>
      <c r="R92" s="72"/>
      <c r="S92" s="72"/>
      <c r="T92" s="72"/>
      <c r="U92" s="159">
        <v>4309</v>
      </c>
    </row>
    <row r="93" spans="1:22" ht="27.75" customHeight="1" thickBot="1" x14ac:dyDescent="0.25">
      <c r="A93" s="116" t="s">
        <v>21</v>
      </c>
      <c r="B93" s="102">
        <f>SUM(B85:B91)</f>
        <v>0</v>
      </c>
      <c r="C93" s="24"/>
      <c r="D93" s="14">
        <f>SUM(D85:D92)</f>
        <v>32700</v>
      </c>
      <c r="E93" s="14">
        <f>SUM(E85:E92)</f>
        <v>13634</v>
      </c>
      <c r="F93" s="14">
        <f>SUM(F85:F92)</f>
        <v>13634</v>
      </c>
      <c r="G93" s="14">
        <f>SUM(G85:G92)</f>
        <v>9062.69</v>
      </c>
      <c r="H93" s="24"/>
      <c r="I93" s="14">
        <f t="shared" ref="I93:N93" si="3">SUM(I85:I92)</f>
        <v>38635</v>
      </c>
      <c r="J93" s="14">
        <f t="shared" si="3"/>
        <v>20262</v>
      </c>
      <c r="K93" s="14">
        <f t="shared" si="3"/>
        <v>114213</v>
      </c>
      <c r="L93" s="14">
        <f t="shared" si="3"/>
        <v>173679.72999999998</v>
      </c>
      <c r="M93" s="14">
        <f t="shared" si="3"/>
        <v>224510.72999999998</v>
      </c>
      <c r="N93" s="14">
        <f t="shared" si="3"/>
        <v>31330</v>
      </c>
      <c r="O93" s="24"/>
      <c r="P93" s="14">
        <f>SUM(P85:P92)</f>
        <v>48635</v>
      </c>
      <c r="Q93" s="14">
        <f>SUM(Q85:Q92)</f>
        <v>20262</v>
      </c>
      <c r="R93" s="14">
        <f>SUM(R85:R92)</f>
        <v>114213</v>
      </c>
      <c r="S93" s="14">
        <f>SUM(S85:S92)</f>
        <v>340008</v>
      </c>
      <c r="T93" s="14">
        <f>SUM(T85:T92)</f>
        <v>398751</v>
      </c>
      <c r="U93" s="64" t="s">
        <v>5</v>
      </c>
    </row>
    <row r="94" spans="1:22" ht="42.75" x14ac:dyDescent="0.2">
      <c r="A94" s="160" t="s">
        <v>67</v>
      </c>
      <c r="B94" s="108">
        <v>0</v>
      </c>
      <c r="C94" s="22"/>
      <c r="D94" s="66">
        <v>10000</v>
      </c>
      <c r="E94" s="66">
        <v>0</v>
      </c>
      <c r="F94" s="66">
        <v>0</v>
      </c>
      <c r="G94" s="66">
        <v>0</v>
      </c>
      <c r="H94" s="56"/>
      <c r="I94" s="66">
        <v>10000</v>
      </c>
      <c r="J94" s="66">
        <v>0</v>
      </c>
      <c r="K94" s="66">
        <v>0</v>
      </c>
      <c r="L94" s="66">
        <v>0</v>
      </c>
      <c r="M94" s="66">
        <v>0</v>
      </c>
      <c r="N94" s="66">
        <v>0</v>
      </c>
      <c r="O94" s="56"/>
      <c r="P94" s="66">
        <v>0</v>
      </c>
      <c r="Q94" s="67">
        <v>0</v>
      </c>
      <c r="R94" s="66">
        <v>0</v>
      </c>
      <c r="S94" s="66">
        <v>0</v>
      </c>
      <c r="T94" s="66">
        <v>0</v>
      </c>
      <c r="U94" s="161">
        <v>5000</v>
      </c>
    </row>
    <row r="95" spans="1:22" ht="144.75" x14ac:dyDescent="0.2">
      <c r="A95" s="130" t="s">
        <v>68</v>
      </c>
      <c r="B95" s="109">
        <v>0</v>
      </c>
      <c r="C95" s="26"/>
      <c r="D95" s="16">
        <v>125000</v>
      </c>
      <c r="E95" s="16">
        <v>0</v>
      </c>
      <c r="F95" s="16">
        <v>0</v>
      </c>
      <c r="G95" s="16">
        <v>0</v>
      </c>
      <c r="H95" s="26"/>
      <c r="I95" s="16">
        <v>125000</v>
      </c>
      <c r="J95" s="16">
        <v>0</v>
      </c>
      <c r="K95" s="16">
        <v>0</v>
      </c>
      <c r="L95" s="16">
        <v>0</v>
      </c>
      <c r="M95" s="16">
        <v>0</v>
      </c>
      <c r="N95" s="16">
        <v>0</v>
      </c>
      <c r="O95" s="26"/>
      <c r="P95" s="16">
        <v>125000</v>
      </c>
      <c r="Q95" s="16">
        <v>0</v>
      </c>
      <c r="R95" s="9">
        <v>0</v>
      </c>
      <c r="S95" s="9">
        <v>0</v>
      </c>
      <c r="T95" s="9">
        <v>0</v>
      </c>
      <c r="U95" s="162">
        <v>5000</v>
      </c>
    </row>
    <row r="96" spans="1:22" ht="42.75" x14ac:dyDescent="0.2">
      <c r="A96" s="163" t="s">
        <v>69</v>
      </c>
      <c r="B96" s="109">
        <v>0</v>
      </c>
      <c r="C96" s="26"/>
      <c r="D96" s="47">
        <v>75000</v>
      </c>
      <c r="E96" s="16">
        <v>0</v>
      </c>
      <c r="F96" s="16">
        <v>0</v>
      </c>
      <c r="G96" s="16">
        <v>0</v>
      </c>
      <c r="H96" s="26"/>
      <c r="I96" s="47">
        <v>75000</v>
      </c>
      <c r="J96" s="16">
        <v>0</v>
      </c>
      <c r="K96" s="16">
        <v>0</v>
      </c>
      <c r="L96" s="16">
        <v>0</v>
      </c>
      <c r="M96" s="16">
        <v>0</v>
      </c>
      <c r="N96" s="16">
        <v>0</v>
      </c>
      <c r="O96" s="26"/>
      <c r="P96" s="47">
        <v>75000</v>
      </c>
      <c r="Q96" s="16">
        <v>0</v>
      </c>
      <c r="R96" s="9">
        <v>0</v>
      </c>
      <c r="S96" s="9">
        <v>0</v>
      </c>
      <c r="T96" s="9">
        <v>0</v>
      </c>
      <c r="U96" s="162">
        <v>5804</v>
      </c>
    </row>
    <row r="97" spans="1:26" ht="228.75" x14ac:dyDescent="0.2">
      <c r="A97" s="143" t="s">
        <v>125</v>
      </c>
      <c r="B97" s="109">
        <v>0</v>
      </c>
      <c r="C97" s="26"/>
      <c r="D97" s="16">
        <v>0</v>
      </c>
      <c r="E97" s="16">
        <v>0</v>
      </c>
      <c r="F97" s="16">
        <v>0</v>
      </c>
      <c r="G97" s="16">
        <v>0</v>
      </c>
      <c r="H97" s="26"/>
      <c r="I97" s="16">
        <v>0</v>
      </c>
      <c r="J97" s="16">
        <v>0</v>
      </c>
      <c r="K97" s="16">
        <v>30000</v>
      </c>
      <c r="L97" s="16">
        <v>30000</v>
      </c>
      <c r="M97" s="16">
        <v>30000</v>
      </c>
      <c r="N97" s="16">
        <v>0</v>
      </c>
      <c r="O97" s="26"/>
      <c r="P97" s="16">
        <v>0</v>
      </c>
      <c r="Q97" s="16">
        <v>0</v>
      </c>
      <c r="R97" s="9">
        <v>30000</v>
      </c>
      <c r="S97" s="89">
        <f>30000+15000</f>
        <v>45000</v>
      </c>
      <c r="T97" s="92">
        <f>30000+60000</f>
        <v>90000</v>
      </c>
      <c r="U97" s="124">
        <v>5110</v>
      </c>
    </row>
    <row r="98" spans="1:26" ht="57.75" x14ac:dyDescent="0.2">
      <c r="A98" s="132" t="s">
        <v>70</v>
      </c>
      <c r="B98" s="109">
        <v>0</v>
      </c>
      <c r="C98" s="26"/>
      <c r="D98" s="16">
        <v>0</v>
      </c>
      <c r="E98" s="16">
        <v>0</v>
      </c>
      <c r="F98" s="16">
        <v>0</v>
      </c>
      <c r="G98" s="16">
        <v>0</v>
      </c>
      <c r="H98" s="26"/>
      <c r="I98" s="16">
        <v>0</v>
      </c>
      <c r="J98" s="16">
        <v>0</v>
      </c>
      <c r="K98" s="16">
        <v>10000</v>
      </c>
      <c r="L98" s="16">
        <v>0</v>
      </c>
      <c r="M98" s="16">
        <v>0</v>
      </c>
      <c r="N98" s="16">
        <v>0</v>
      </c>
      <c r="O98" s="26"/>
      <c r="P98" s="16">
        <v>0</v>
      </c>
      <c r="Q98" s="16">
        <v>0</v>
      </c>
      <c r="R98" s="9">
        <v>10000</v>
      </c>
      <c r="S98" s="89">
        <v>0</v>
      </c>
      <c r="T98" s="89">
        <v>0</v>
      </c>
      <c r="U98" s="124">
        <v>5110</v>
      </c>
    </row>
    <row r="99" spans="1:26" ht="87" thickBot="1" x14ac:dyDescent="0.25">
      <c r="A99" s="175" t="s">
        <v>132</v>
      </c>
      <c r="B99" s="109">
        <v>0</v>
      </c>
      <c r="C99" s="26"/>
      <c r="D99" s="16">
        <v>0</v>
      </c>
      <c r="E99" s="16">
        <v>0</v>
      </c>
      <c r="F99" s="16">
        <v>0</v>
      </c>
      <c r="G99" s="16">
        <v>0</v>
      </c>
      <c r="H99" s="26"/>
      <c r="I99" s="16">
        <v>0</v>
      </c>
      <c r="J99" s="16">
        <v>0</v>
      </c>
      <c r="K99" s="16">
        <v>6000</v>
      </c>
      <c r="L99" s="16">
        <f>6000+4000</f>
        <v>10000</v>
      </c>
      <c r="M99" s="16">
        <f>6000+4000</f>
        <v>10000</v>
      </c>
      <c r="N99" s="16">
        <v>0</v>
      </c>
      <c r="O99" s="26"/>
      <c r="P99" s="16">
        <v>0</v>
      </c>
      <c r="Q99" s="16">
        <v>0</v>
      </c>
      <c r="R99" s="9">
        <v>6000</v>
      </c>
      <c r="S99" s="89">
        <f>6000+10000</f>
        <v>16000</v>
      </c>
      <c r="T99" s="92">
        <f>16000+10000</f>
        <v>26000</v>
      </c>
      <c r="U99" s="124">
        <v>5000</v>
      </c>
    </row>
    <row r="100" spans="1:26" ht="81" customHeight="1" thickBot="1" x14ac:dyDescent="0.25">
      <c r="A100" s="117" t="s">
        <v>126</v>
      </c>
      <c r="B100" s="109">
        <v>0</v>
      </c>
      <c r="C100" s="26"/>
      <c r="D100" s="16">
        <v>0</v>
      </c>
      <c r="E100" s="16">
        <v>0</v>
      </c>
      <c r="F100" s="16">
        <v>0</v>
      </c>
      <c r="G100" s="16">
        <v>0</v>
      </c>
      <c r="H100" s="26"/>
      <c r="I100" s="16">
        <v>0</v>
      </c>
      <c r="J100" s="16">
        <v>0</v>
      </c>
      <c r="K100" s="16">
        <v>6000</v>
      </c>
      <c r="L100" s="16">
        <v>6000</v>
      </c>
      <c r="M100" s="16">
        <v>6000</v>
      </c>
      <c r="N100" s="16">
        <v>0</v>
      </c>
      <c r="O100" s="26"/>
      <c r="P100" s="16">
        <v>0</v>
      </c>
      <c r="Q100" s="16">
        <v>0</v>
      </c>
      <c r="R100" s="9">
        <v>6000</v>
      </c>
      <c r="S100" s="89">
        <v>6000</v>
      </c>
      <c r="T100" s="92">
        <f>6000+4400</f>
        <v>10400</v>
      </c>
      <c r="U100" s="124">
        <v>5202</v>
      </c>
    </row>
    <row r="101" spans="1:26" ht="126.75" customHeight="1" thickBot="1" x14ac:dyDescent="0.25">
      <c r="A101" s="118" t="s">
        <v>127</v>
      </c>
      <c r="B101" s="110"/>
      <c r="C101" s="68"/>
      <c r="D101" s="49"/>
      <c r="E101" s="49">
        <v>0</v>
      </c>
      <c r="F101" s="49">
        <v>0</v>
      </c>
      <c r="G101" s="49">
        <v>0</v>
      </c>
      <c r="H101" s="68"/>
      <c r="I101" s="49"/>
      <c r="J101" s="49">
        <v>0</v>
      </c>
      <c r="K101" s="49">
        <v>7000</v>
      </c>
      <c r="L101" s="49">
        <f>7000+4000</f>
        <v>11000</v>
      </c>
      <c r="M101" s="49">
        <f>7000+4000</f>
        <v>11000</v>
      </c>
      <c r="N101" s="49">
        <f>14402.32+758.88</f>
        <v>15161.199999999999</v>
      </c>
      <c r="O101" s="68"/>
      <c r="P101" s="49"/>
      <c r="Q101" s="49">
        <v>0</v>
      </c>
      <c r="R101" s="45">
        <v>7000</v>
      </c>
      <c r="S101" s="90">
        <f>7000+15042</f>
        <v>22042</v>
      </c>
      <c r="T101" s="94">
        <f>7000+33600</f>
        <v>40600</v>
      </c>
      <c r="U101" s="128">
        <v>5000</v>
      </c>
    </row>
    <row r="102" spans="1:26" ht="29.25" customHeight="1" thickBot="1" x14ac:dyDescent="0.25">
      <c r="A102" s="116" t="s">
        <v>22</v>
      </c>
      <c r="B102" s="102">
        <f>SUM(B94:B101)</f>
        <v>0</v>
      </c>
      <c r="C102" s="24"/>
      <c r="D102" s="14">
        <f>SUM(D94:D101)-D96</f>
        <v>135000</v>
      </c>
      <c r="E102" s="14">
        <f>SUM(E94:E101)-E96</f>
        <v>0</v>
      </c>
      <c r="F102" s="14">
        <f>SUM(F94:F101)-F96</f>
        <v>0</v>
      </c>
      <c r="G102" s="14">
        <f>SUM(G94:G101)-G96</f>
        <v>0</v>
      </c>
      <c r="H102" s="24"/>
      <c r="I102" s="14">
        <f t="shared" ref="I102:N102" si="4">SUM(I94:I101)-I96</f>
        <v>135000</v>
      </c>
      <c r="J102" s="14">
        <f t="shared" si="4"/>
        <v>0</v>
      </c>
      <c r="K102" s="14">
        <f t="shared" si="4"/>
        <v>59000</v>
      </c>
      <c r="L102" s="14">
        <f t="shared" si="4"/>
        <v>57000</v>
      </c>
      <c r="M102" s="14">
        <f t="shared" si="4"/>
        <v>57000</v>
      </c>
      <c r="N102" s="14">
        <f t="shared" si="4"/>
        <v>15161.199999999999</v>
      </c>
      <c r="O102" s="24"/>
      <c r="P102" s="14">
        <f>SUM(P94:P101)-P96</f>
        <v>125000</v>
      </c>
      <c r="Q102" s="14">
        <f>SUM(Q94:Q101)-Q96</f>
        <v>0</v>
      </c>
      <c r="R102" s="14">
        <f>SUM(R94:R101)-R96</f>
        <v>59000</v>
      </c>
      <c r="S102" s="14">
        <f>SUM(S94:S101)-S96</f>
        <v>89042</v>
      </c>
      <c r="T102" s="14">
        <f>SUM(T94:T101)-T96</f>
        <v>167000</v>
      </c>
      <c r="U102" s="64" t="s">
        <v>6</v>
      </c>
    </row>
    <row r="103" spans="1:26" ht="14.25" x14ac:dyDescent="0.2">
      <c r="A103" s="164"/>
      <c r="B103" s="53">
        <v>0</v>
      </c>
      <c r="C103" s="69"/>
      <c r="D103" s="70">
        <v>0</v>
      </c>
      <c r="E103" s="70"/>
      <c r="F103" s="70"/>
      <c r="G103" s="70"/>
      <c r="H103" s="69"/>
      <c r="I103" s="70">
        <v>0</v>
      </c>
      <c r="J103" s="70"/>
      <c r="K103" s="70"/>
      <c r="L103" s="70"/>
      <c r="M103" s="70"/>
      <c r="N103" s="70"/>
      <c r="O103" s="69"/>
      <c r="P103" s="70">
        <v>0</v>
      </c>
      <c r="Q103" s="71"/>
      <c r="R103" s="53"/>
      <c r="S103" s="53"/>
      <c r="T103" s="53"/>
      <c r="U103" s="165"/>
    </row>
    <row r="104" spans="1:26" thickBot="1" x14ac:dyDescent="0.25">
      <c r="A104" s="166"/>
      <c r="B104" s="111"/>
      <c r="C104" s="29"/>
      <c r="D104" s="13"/>
      <c r="E104" s="13"/>
      <c r="F104" s="13"/>
      <c r="G104" s="13"/>
      <c r="H104" s="27"/>
      <c r="I104" s="13"/>
      <c r="J104" s="13"/>
      <c r="K104" s="13"/>
      <c r="L104" s="13"/>
      <c r="M104" s="13"/>
      <c r="N104" s="13"/>
      <c r="O104" s="27"/>
      <c r="P104" s="13"/>
      <c r="Q104" s="33"/>
      <c r="R104" s="48"/>
      <c r="S104" s="48"/>
      <c r="T104" s="48"/>
      <c r="U104" s="165"/>
    </row>
    <row r="105" spans="1:26" ht="26.25" customHeight="1" thickBot="1" x14ac:dyDescent="0.25">
      <c r="A105" s="116" t="s">
        <v>23</v>
      </c>
      <c r="B105" s="102">
        <f>SUM(B103:B104)</f>
        <v>0</v>
      </c>
      <c r="C105" s="24"/>
      <c r="D105" s="14">
        <f>SUM(D103:D104)</f>
        <v>0</v>
      </c>
      <c r="E105" s="14">
        <f>SUM(E103:E104)</f>
        <v>0</v>
      </c>
      <c r="F105" s="14">
        <v>0</v>
      </c>
      <c r="G105" s="14"/>
      <c r="H105" s="24"/>
      <c r="I105" s="14">
        <f>SUM(I103:I104)</f>
        <v>0</v>
      </c>
      <c r="J105" s="14">
        <f>SUM(J103:J104)</f>
        <v>0</v>
      </c>
      <c r="K105" s="14">
        <v>0</v>
      </c>
      <c r="L105" s="14">
        <v>0</v>
      </c>
      <c r="M105" s="14">
        <v>0</v>
      </c>
      <c r="N105" s="14">
        <v>0</v>
      </c>
      <c r="O105" s="24"/>
      <c r="P105" s="14">
        <f>SUM(P103:P104)</f>
        <v>0</v>
      </c>
      <c r="Q105" s="32">
        <f>SUM(Q103:Q104)</f>
        <v>0</v>
      </c>
      <c r="R105" s="31">
        <v>0</v>
      </c>
      <c r="S105" s="31"/>
      <c r="T105" s="31"/>
      <c r="U105" s="43" t="s">
        <v>1</v>
      </c>
    </row>
    <row r="106" spans="1:26" thickBot="1" x14ac:dyDescent="0.25">
      <c r="A106" s="119" t="s">
        <v>11</v>
      </c>
      <c r="B106" s="112">
        <f>SUM(B105,B102,B93,B84,B50,B42)</f>
        <v>0</v>
      </c>
      <c r="C106" s="76"/>
      <c r="D106" s="77">
        <f>SUM(D105,D102,D93,D84,D50,D42)</f>
        <v>1750334</v>
      </c>
      <c r="E106" s="77">
        <f>SUM(E105,E102,E93,E84,E50,E42)</f>
        <v>1750334</v>
      </c>
      <c r="F106" s="77">
        <f>SUM(F105,F102,F93,F84,F50,F42)</f>
        <v>1750334</v>
      </c>
      <c r="G106" s="77">
        <f>SUM(G105,G102,G93,G84,G50,G42)</f>
        <v>1532416.97</v>
      </c>
      <c r="H106" s="76"/>
      <c r="I106" s="77">
        <f t="shared" ref="I106:N106" si="5">SUM(I105,I102,I93,I84,I50,I42)</f>
        <v>1746600</v>
      </c>
      <c r="J106" s="77">
        <f t="shared" si="5"/>
        <v>1746600</v>
      </c>
      <c r="K106" s="77">
        <f t="shared" si="5"/>
        <v>1746600</v>
      </c>
      <c r="L106" s="77">
        <f t="shared" si="5"/>
        <v>1926114.73</v>
      </c>
      <c r="M106" s="77">
        <f t="shared" si="5"/>
        <v>1976945.73</v>
      </c>
      <c r="N106" s="77">
        <f t="shared" si="5"/>
        <v>1326761.5</v>
      </c>
      <c r="O106" s="76"/>
      <c r="P106" s="77">
        <f>SUM(P105,P102,P93,P84,P50,P42)</f>
        <v>1746600</v>
      </c>
      <c r="Q106" s="78">
        <f>SUM(Q105,Q102,Q93,Q84,Q50,Q42)</f>
        <v>1746600</v>
      </c>
      <c r="R106" s="78">
        <f>SUM(R105,R102,R93,R84,R50,R42)</f>
        <v>1746600</v>
      </c>
      <c r="S106" s="78">
        <f>SUM(S105,S102,S93,S84,S50,S42)</f>
        <v>2326678</v>
      </c>
      <c r="T106" s="78">
        <f>SUM(T105,T102,T93,T84,T50,T42)</f>
        <v>2329451</v>
      </c>
      <c r="U106" s="79"/>
    </row>
    <row r="107" spans="1:26" s="3" customFormat="1" ht="29.25" thickBot="1" x14ac:dyDescent="0.25">
      <c r="A107" s="91" t="s">
        <v>110</v>
      </c>
      <c r="B107" s="113"/>
      <c r="C107" s="24"/>
      <c r="D107" s="82"/>
      <c r="E107" s="82"/>
      <c r="F107" s="82"/>
      <c r="G107" s="82"/>
      <c r="H107" s="24"/>
      <c r="I107" s="82"/>
      <c r="J107" s="82"/>
      <c r="K107" s="82"/>
      <c r="L107" s="82"/>
      <c r="M107" s="82"/>
      <c r="N107" s="82"/>
      <c r="O107" s="24"/>
      <c r="P107" s="82"/>
      <c r="Q107" s="82"/>
      <c r="R107" s="82"/>
      <c r="S107" s="82"/>
      <c r="T107" s="82"/>
      <c r="U107" s="83">
        <v>7310</v>
      </c>
      <c r="Z107" s="181"/>
    </row>
    <row r="108" spans="1:26" ht="14.25" x14ac:dyDescent="0.2">
      <c r="A108" s="167" t="s">
        <v>14</v>
      </c>
      <c r="B108" s="114"/>
      <c r="C108" s="80"/>
      <c r="D108" s="13">
        <v>69388</v>
      </c>
      <c r="E108" s="13">
        <v>69388</v>
      </c>
      <c r="F108" s="13">
        <v>69388</v>
      </c>
      <c r="G108" s="13">
        <v>45206.3</v>
      </c>
      <c r="H108" s="27"/>
      <c r="I108" s="13">
        <v>54277</v>
      </c>
      <c r="J108" s="13">
        <v>54277</v>
      </c>
      <c r="K108" s="13">
        <v>54277</v>
      </c>
      <c r="L108" s="13">
        <f>56507+7825</f>
        <v>64332</v>
      </c>
      <c r="M108" s="85">
        <f>64332+1698</f>
        <v>66030</v>
      </c>
      <c r="N108" s="85">
        <v>44313.51</v>
      </c>
      <c r="O108" s="27"/>
      <c r="P108" s="13">
        <v>55213</v>
      </c>
      <c r="Q108" s="81">
        <v>55213</v>
      </c>
      <c r="R108" s="13">
        <v>55213</v>
      </c>
      <c r="S108" s="13">
        <f>ROUNDUP((2506554/1.0519)*0.0519,0)</f>
        <v>123672</v>
      </c>
      <c r="T108" s="13">
        <v>120899</v>
      </c>
      <c r="U108" s="122"/>
    </row>
    <row r="109" spans="1:26" ht="23.25" customHeight="1" thickBot="1" x14ac:dyDescent="0.25">
      <c r="A109" s="120" t="s">
        <v>24</v>
      </c>
      <c r="B109" s="84">
        <f t="shared" ref="B109:S109" si="6">B108</f>
        <v>0</v>
      </c>
      <c r="C109" s="28"/>
      <c r="D109" s="84">
        <f t="shared" si="6"/>
        <v>69388</v>
      </c>
      <c r="E109" s="84">
        <f t="shared" si="6"/>
        <v>69388</v>
      </c>
      <c r="F109" s="84">
        <f>F108</f>
        <v>69388</v>
      </c>
      <c r="G109" s="84">
        <f t="shared" si="6"/>
        <v>45206.3</v>
      </c>
      <c r="H109" s="28"/>
      <c r="I109" s="84">
        <f t="shared" si="6"/>
        <v>54277</v>
      </c>
      <c r="J109" s="84">
        <f t="shared" si="6"/>
        <v>54277</v>
      </c>
      <c r="K109" s="84">
        <f t="shared" si="6"/>
        <v>54277</v>
      </c>
      <c r="L109" s="84">
        <f t="shared" si="6"/>
        <v>64332</v>
      </c>
      <c r="M109" s="84">
        <f t="shared" si="6"/>
        <v>66030</v>
      </c>
      <c r="N109" s="84">
        <f>N108</f>
        <v>44313.51</v>
      </c>
      <c r="O109" s="28"/>
      <c r="P109" s="84">
        <f t="shared" si="6"/>
        <v>55213</v>
      </c>
      <c r="Q109" s="84">
        <f t="shared" si="6"/>
        <v>55213</v>
      </c>
      <c r="R109" s="84">
        <f t="shared" si="6"/>
        <v>55213</v>
      </c>
      <c r="S109" s="84">
        <f t="shared" si="6"/>
        <v>123672</v>
      </c>
      <c r="T109" s="84">
        <f>T108</f>
        <v>120899</v>
      </c>
      <c r="U109" s="168" t="s">
        <v>10</v>
      </c>
    </row>
    <row r="110" spans="1:26" thickBot="1" x14ac:dyDescent="0.25">
      <c r="A110" s="116" t="s">
        <v>12</v>
      </c>
      <c r="B110" s="115"/>
      <c r="C110" s="30"/>
      <c r="D110" s="14">
        <f>D106+D109</f>
        <v>1819722</v>
      </c>
      <c r="E110" s="14">
        <f>E106+E109</f>
        <v>1819722</v>
      </c>
      <c r="F110" s="14">
        <f>F106+F109</f>
        <v>1819722</v>
      </c>
      <c r="G110" s="14">
        <f>G106+G109</f>
        <v>1577623.27</v>
      </c>
      <c r="H110" s="24"/>
      <c r="I110" s="14">
        <f t="shared" ref="I110:N110" si="7">I106+I109</f>
        <v>1800877</v>
      </c>
      <c r="J110" s="14">
        <f t="shared" si="7"/>
        <v>1800877</v>
      </c>
      <c r="K110" s="14">
        <f t="shared" si="7"/>
        <v>1800877</v>
      </c>
      <c r="L110" s="14">
        <f t="shared" si="7"/>
        <v>1990446.73</v>
      </c>
      <c r="M110" s="14">
        <f t="shared" si="7"/>
        <v>2042975.73</v>
      </c>
      <c r="N110" s="14">
        <f t="shared" si="7"/>
        <v>1371075.01</v>
      </c>
      <c r="O110" s="24"/>
      <c r="P110" s="14">
        <f>P106+P109</f>
        <v>1801813</v>
      </c>
      <c r="Q110" s="14">
        <f>Q106+Q109</f>
        <v>1801813</v>
      </c>
      <c r="R110" s="14">
        <f>R106+R109</f>
        <v>1801813</v>
      </c>
      <c r="S110" s="14">
        <f>S106+S109</f>
        <v>2450350</v>
      </c>
      <c r="T110" s="14">
        <f>T106+T109</f>
        <v>2450350</v>
      </c>
      <c r="U110" s="43"/>
    </row>
    <row r="112" spans="1:26" x14ac:dyDescent="0.2">
      <c r="D112" s="46" t="b">
        <f>1819722=D110</f>
        <v>1</v>
      </c>
      <c r="E112" s="46" t="b">
        <f>1819722=E110</f>
        <v>1</v>
      </c>
      <c r="F112" s="46" t="b">
        <f>1819722=F110</f>
        <v>1</v>
      </c>
      <c r="G112" s="46" t="b">
        <f>1577623.27=G110</f>
        <v>1</v>
      </c>
      <c r="I112" s="46" t="b">
        <f>1800877=I110</f>
        <v>1</v>
      </c>
      <c r="J112" s="46" t="b">
        <f>1800877=J110</f>
        <v>1</v>
      </c>
      <c r="K112" s="46" t="b">
        <f>1800877=K110</f>
        <v>1</v>
      </c>
      <c r="L112" s="46" t="b">
        <f>1748348+242098.73=L110</f>
        <v>1</v>
      </c>
      <c r="M112" s="46" t="b">
        <f>1800877+242098.73=M110</f>
        <v>1</v>
      </c>
      <c r="N112" s="46" t="b">
        <f>1371075.01=N110</f>
        <v>1</v>
      </c>
      <c r="P112" s="46" t="b">
        <f>1801813=P110</f>
        <v>1</v>
      </c>
      <c r="Q112" s="46" t="b">
        <f>1801813=Q110</f>
        <v>1</v>
      </c>
      <c r="R112" s="46" t="b">
        <f>1801813=R110</f>
        <v>1</v>
      </c>
      <c r="S112" s="46" t="b">
        <f>1801813-23364+671901=S110</f>
        <v>1</v>
      </c>
      <c r="T112" s="46" t="b">
        <f>1801813-23364+671901=T110</f>
        <v>1</v>
      </c>
    </row>
    <row r="114" spans="14:21" x14ac:dyDescent="0.2">
      <c r="N114" s="86">
        <f>N110-1371075.01</f>
        <v>0</v>
      </c>
      <c r="P114" s="8" t="s">
        <v>124</v>
      </c>
      <c r="R114" s="74" t="s">
        <v>89</v>
      </c>
      <c r="S114" s="73">
        <v>2450350</v>
      </c>
      <c r="T114" s="73">
        <v>2450350</v>
      </c>
    </row>
    <row r="115" spans="14:21" x14ac:dyDescent="0.2">
      <c r="R115" s="74"/>
      <c r="S115" s="73"/>
      <c r="T115" s="73"/>
    </row>
    <row r="116" spans="14:21" ht="14.25" x14ac:dyDescent="0.2">
      <c r="R116" s="74" t="s">
        <v>90</v>
      </c>
      <c r="S116" s="73"/>
      <c r="T116" s="73">
        <f>T110-T114</f>
        <v>0</v>
      </c>
      <c r="U116" s="75"/>
    </row>
  </sheetData>
  <sheetProtection password="9289" sheet="1" objects="1" scenarios="1"/>
  <mergeCells count="5">
    <mergeCell ref="A5:U5"/>
    <mergeCell ref="U7:U9"/>
    <mergeCell ref="A7:A9"/>
    <mergeCell ref="B8:P8"/>
    <mergeCell ref="B7:P7"/>
  </mergeCells>
  <printOptions horizontalCentered="1"/>
  <pageMargins left="0.25" right="0.25" top="0.75" bottom="0.75" header="0.3" footer="0.3"/>
  <pageSetup scale="78" orientation="landscape" r:id="rId1"/>
  <headerFooter>
    <oddFooter>&amp;L&amp;"Arial,Regular"Crenshaw Senior High School
Rev. 07.08.15&amp;R&amp;"Arial,Regular"&amp;P of &amp;N</oddFooter>
  </headerFooter>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1"/>
  <sheetViews>
    <sheetView workbookViewId="0">
      <selection activeCell="B12" sqref="B12"/>
    </sheetView>
  </sheetViews>
  <sheetFormatPr defaultColWidth="11.42578125" defaultRowHeight="12.75" x14ac:dyDescent="0.2"/>
  <sheetData>
    <row r="3" spans="1:2" x14ac:dyDescent="0.2">
      <c r="A3">
        <v>95308</v>
      </c>
    </row>
    <row r="4" spans="1:2" x14ac:dyDescent="0.2">
      <c r="A4">
        <v>29249</v>
      </c>
    </row>
    <row r="6" spans="1:2" x14ac:dyDescent="0.2">
      <c r="A6">
        <f>SUM(A3:A5)</f>
        <v>124557</v>
      </c>
    </row>
    <row r="7" spans="1:2" x14ac:dyDescent="0.2">
      <c r="A7">
        <v>68515</v>
      </c>
    </row>
    <row r="9" spans="1:2" x14ac:dyDescent="0.2">
      <c r="A9">
        <v>56042</v>
      </c>
    </row>
    <row r="10" spans="1:2" x14ac:dyDescent="0.2">
      <c r="B10">
        <v>10000</v>
      </c>
    </row>
    <row r="11" spans="1:2" x14ac:dyDescent="0.2">
      <c r="B11">
        <v>20000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Crenshaw SH</vt:lpstr>
      <vt:lpstr>Sheet1</vt:lpstr>
      <vt:lpstr>'Crenshaw SH'!Print_Area</vt:lpstr>
      <vt:lpstr>'Crenshaw SH'!Print_Titles</vt:lpstr>
    </vt:vector>
  </TitlesOfParts>
  <Company>California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 Cohort 2 Budget Documents for Highland Elementary - Title I (CA Dept of Education)</dc:title>
  <dc:subject>An electronic version of the budget documents for the School Improvement Grant, Cohort 2, that was submitted for Highland Elementary.</dc:subject>
  <dc:creator>TWilliamson</dc:creator>
  <cp:keywords>sig, school improvement grant, watsonville, budget</cp:keywords>
  <cp:lastModifiedBy>Windows User</cp:lastModifiedBy>
  <cp:lastPrinted>2015-07-13T18:15:52Z</cp:lastPrinted>
  <dcterms:created xsi:type="dcterms:W3CDTF">2011-09-27T21:58:19Z</dcterms:created>
  <dcterms:modified xsi:type="dcterms:W3CDTF">2015-08-17T21:01:26Z</dcterms:modified>
</cp:coreProperties>
</file>